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9"/>
  <workbookPr/>
  <mc:AlternateContent xmlns:mc="http://schemas.openxmlformats.org/markup-compatibility/2006">
    <mc:Choice Requires="x15">
      <x15ac:absPath xmlns:x15ac="http://schemas.microsoft.com/office/spreadsheetml/2010/11/ac" url="C:\Users\gianclaudio\Google Drive\00 - Administrative stuff\05 - Libri e fatturazioni varie\01 - Libri\03 - CDG\v2021\Cap8\"/>
    </mc:Choice>
  </mc:AlternateContent>
  <xr:revisionPtr revIDLastSave="0" documentId="13_ncr:40009_{69698E0A-E939-4D3F-BF05-3F993BAECE49}" xr6:coauthVersionLast="36" xr6:coauthVersionMax="36" xr10:uidLastSave="{00000000-0000-0000-0000-000000000000}"/>
  <bookViews>
    <workbookView xWindow="480" yWindow="410" windowWidth="10860" windowHeight="6150" tabRatio="709" activeTab="1"/>
  </bookViews>
  <sheets>
    <sheet name="Cover" sheetId="23" r:id="rId1"/>
    <sheet name="Cov" sheetId="20" r:id="rId2"/>
    <sheet name="Foglio1" sheetId="24" r:id="rId3"/>
    <sheet name="IN Bdg" sheetId="19" r:id="rId4"/>
    <sheet name="IN Act" sheetId="18" r:id="rId5"/>
    <sheet name="IN Py" sheetId="22" r:id="rId6"/>
    <sheet name="P&amp;L" sheetId="8" r:id="rId7"/>
    <sheet name="BS" sheetId="5" r:id="rId8"/>
    <sheet name="CF" sheetId="4" r:id="rId9"/>
    <sheet name="BackUp" sheetId="13" r:id="rId10"/>
    <sheet name="Cos_RD_Ho" sheetId="12" r:id="rId11"/>
    <sheet name="Opex" sheetId="17" r:id="rId12"/>
    <sheet name="Oth_Int_Ext" sheetId="16" r:id="rId13"/>
  </sheets>
  <definedNames>
    <definedName name="_xlnm._FilterDatabase" localSheetId="4" hidden="1">'IN Act'!$A$1:$O$128</definedName>
    <definedName name="_xlnm._FilterDatabase" localSheetId="3" hidden="1">'IN Bdg'!$R$1:$R$155</definedName>
    <definedName name="_xlnm._FilterDatabase" localSheetId="5" hidden="1">'IN Py'!$A$1:$Q$163</definedName>
    <definedName name="_xlnm._FilterDatabase" localSheetId="11" hidden="1">Opex!$B$1:$M$95</definedName>
    <definedName name="act_mon" localSheetId="5">'IN Py'!$P$4:$P$163</definedName>
    <definedName name="act_ytd" localSheetId="5">'IN Py'!$Q$4:$Q$163</definedName>
    <definedName name="_Act2" localSheetId="5">'IN Py'!$B$4:$B$163</definedName>
    <definedName name="_Act3" localSheetId="5">'IN Py'!$A$4:$A$163</definedName>
    <definedName name="_xlnm.Print_Area" localSheetId="7">BS!$C$1:$AE$57</definedName>
    <definedName name="_xlnm.Print_Area" localSheetId="8">CF!$A$1:$G$42</definedName>
    <definedName name="_xlnm.Print_Area" localSheetId="10">Cos_RD_Ho!$C$1:$M$50</definedName>
    <definedName name="_xlnm.Print_Area" localSheetId="1">Cov!$A$1:$X$27</definedName>
    <definedName name="_xlnm.Print_Area" localSheetId="11">Opex!$C$1:$M$95</definedName>
    <definedName name="_xlnm.Print_Area" localSheetId="12">Oth_Int_Ext!$C$1:$M$24</definedName>
    <definedName name="_xlnm.Print_Area" localSheetId="6">'P&amp;L'!$C$1:$Q$101</definedName>
    <definedName name="Mese">Cov!$D$29</definedName>
    <definedName name="Month">Cov!$D$20</definedName>
    <definedName name="_xlnm.Print_Titles" localSheetId="10">Cos_RD_Ho!$1:$9</definedName>
    <definedName name="_xlnm.Print_Titles" localSheetId="11">Opex!$1:$8</definedName>
    <definedName name="_xlnm.Print_Titles" localSheetId="12">Oth_Int_Ext!$1:$9</definedName>
    <definedName name="_xlnm.Print_Titles" localSheetId="6">'P&amp;L'!$1:$5</definedName>
  </definedNames>
  <calcPr calcId="191029" fullCalcOnLoad="1"/>
</workbook>
</file>

<file path=xl/calcChain.xml><?xml version="1.0" encoding="utf-8"?>
<calcChain xmlns="http://schemas.openxmlformats.org/spreadsheetml/2006/main">
  <c r="E15" i="4" l="1"/>
  <c r="O143" i="22" l="1"/>
  <c r="U54" i="5"/>
  <c r="Q26" i="22"/>
  <c r="Q27" i="22"/>
  <c r="Q28" i="22"/>
  <c r="N50" i="8"/>
  <c r="Q19" i="22"/>
  <c r="Q20" i="22"/>
  <c r="Q21" i="22"/>
  <c r="Q22" i="22"/>
  <c r="Q23" i="22"/>
  <c r="Q24" i="22"/>
  <c r="Q30" i="22"/>
  <c r="Q31" i="22"/>
  <c r="Q33" i="22"/>
  <c r="Q34" i="22"/>
  <c r="Q36" i="22"/>
  <c r="Q37" i="22"/>
  <c r="Q38" i="22"/>
  <c r="Q40" i="22"/>
  <c r="Q41" i="22"/>
  <c r="Q42" i="22"/>
  <c r="Q43" i="22"/>
  <c r="P43" i="22" s="1"/>
  <c r="Q45" i="22"/>
  <c r="Q46" i="22"/>
  <c r="Q47" i="22"/>
  <c r="Q48" i="22"/>
  <c r="Q49" i="22"/>
  <c r="Q50" i="22"/>
  <c r="Q52" i="22"/>
  <c r="Q53" i="22"/>
  <c r="P53" i="22" s="1"/>
  <c r="Q55" i="22"/>
  <c r="Q56" i="22"/>
  <c r="Q85" i="22"/>
  <c r="Q86" i="22"/>
  <c r="Q87" i="22"/>
  <c r="Q80" i="22"/>
  <c r="Q81" i="22"/>
  <c r="Q82" i="22"/>
  <c r="Q99" i="22"/>
  <c r="Q57" i="22"/>
  <c r="Q93" i="22"/>
  <c r="N48" i="8" s="1"/>
  <c r="Q94" i="22"/>
  <c r="Q95" i="22"/>
  <c r="P95" i="22" s="1"/>
  <c r="Q4" i="22"/>
  <c r="N45" i="8" s="1"/>
  <c r="Q61" i="22"/>
  <c r="Q62" i="22"/>
  <c r="Q63" i="22"/>
  <c r="Q64" i="22"/>
  <c r="Q66" i="22"/>
  <c r="P66" i="22" s="1"/>
  <c r="Q67" i="22"/>
  <c r="Q69" i="22"/>
  <c r="Q70" i="22"/>
  <c r="Q72" i="22"/>
  <c r="Q73" i="22"/>
  <c r="Q74" i="22"/>
  <c r="Q75" i="22"/>
  <c r="N46" i="8"/>
  <c r="Q6" i="22"/>
  <c r="N55" i="8" s="1"/>
  <c r="Q7" i="22"/>
  <c r="Q8" i="22"/>
  <c r="Q9" i="22"/>
  <c r="Q11" i="22"/>
  <c r="Q12" i="22"/>
  <c r="Q13" i="22"/>
  <c r="Q14" i="22"/>
  <c r="Q15" i="22"/>
  <c r="Q16" i="22"/>
  <c r="Q17" i="22"/>
  <c r="Q58" i="22"/>
  <c r="Q65" i="22"/>
  <c r="Q89" i="22"/>
  <c r="Q90" i="22"/>
  <c r="Q91" i="22"/>
  <c r="Q96" i="22"/>
  <c r="Q97" i="22"/>
  <c r="Q79" i="22"/>
  <c r="Q103" i="22"/>
  <c r="Q78" i="22"/>
  <c r="N59" i="8"/>
  <c r="Q102" i="22"/>
  <c r="N61" i="8" s="1"/>
  <c r="Q77" i="22"/>
  <c r="Q100" i="22"/>
  <c r="N64" i="8"/>
  <c r="Q104" i="22"/>
  <c r="N65" i="8"/>
  <c r="Q107" i="22"/>
  <c r="Q105" i="22"/>
  <c r="N68" i="8" s="1"/>
  <c r="P141" i="22"/>
  <c r="Q141" i="22"/>
  <c r="P139" i="22"/>
  <c r="Q139" i="22" s="1"/>
  <c r="AB53" i="5" s="1"/>
  <c r="P138" i="22"/>
  <c r="Q138" i="22"/>
  <c r="AB52" i="5" s="1"/>
  <c r="P137" i="22"/>
  <c r="Q137" i="22" s="1"/>
  <c r="P136" i="22"/>
  <c r="Q136" i="22"/>
  <c r="AB50" i="5" s="1"/>
  <c r="P135" i="22"/>
  <c r="Q135" i="22" s="1"/>
  <c r="M49" i="5" s="1"/>
  <c r="AB49" i="5"/>
  <c r="P133" i="22"/>
  <c r="Q133" i="22"/>
  <c r="AB47" i="5" s="1"/>
  <c r="P132" i="22"/>
  <c r="Q132" i="22" s="1"/>
  <c r="AB43" i="5" s="1"/>
  <c r="P131" i="22"/>
  <c r="Q131" i="22"/>
  <c r="P128" i="22"/>
  <c r="Q128" i="22" s="1"/>
  <c r="P127" i="22"/>
  <c r="Q127" i="22"/>
  <c r="AB36" i="5" s="1"/>
  <c r="P126" i="22"/>
  <c r="Q126" i="22" s="1"/>
  <c r="P125" i="22"/>
  <c r="Q125" i="22"/>
  <c r="AB33" i="5" s="1"/>
  <c r="P124" i="22"/>
  <c r="Q124" i="22" s="1"/>
  <c r="M32" i="5" s="1"/>
  <c r="AB32" i="5"/>
  <c r="P122" i="22"/>
  <c r="Q122" i="22"/>
  <c r="AB29" i="5" s="1"/>
  <c r="P121" i="22"/>
  <c r="Q121" i="22" s="1"/>
  <c r="P120" i="22"/>
  <c r="Q120" i="22"/>
  <c r="P119" i="22"/>
  <c r="Q119" i="22" s="1"/>
  <c r="P118" i="22"/>
  <c r="Q118" i="22"/>
  <c r="AB25" i="5" s="1"/>
  <c r="P117" i="22"/>
  <c r="Q117" i="22" s="1"/>
  <c r="AB24" i="5" s="1"/>
  <c r="P115" i="22"/>
  <c r="Q115" i="22"/>
  <c r="AB22" i="5" s="1"/>
  <c r="P114" i="22"/>
  <c r="Q114" i="22" s="1"/>
  <c r="M21" i="5" s="1"/>
  <c r="AB21" i="5"/>
  <c r="P113" i="22"/>
  <c r="Q113" i="22"/>
  <c r="AB20" i="5" s="1"/>
  <c r="P112" i="22"/>
  <c r="Q112" i="22" s="1"/>
  <c r="P111" i="22"/>
  <c r="Q111" i="22"/>
  <c r="P110" i="22"/>
  <c r="Q110" i="22" s="1"/>
  <c r="P109" i="22"/>
  <c r="Q109" i="22"/>
  <c r="AB14" i="5" s="1"/>
  <c r="Q26" i="18"/>
  <c r="Q27" i="18"/>
  <c r="Q28" i="18"/>
  <c r="L18" i="8"/>
  <c r="Q19" i="18"/>
  <c r="Q20" i="18"/>
  <c r="Q21" i="18"/>
  <c r="Q22" i="18"/>
  <c r="P22" i="18" s="1"/>
  <c r="Q23" i="18"/>
  <c r="Q24" i="18"/>
  <c r="Q30" i="18"/>
  <c r="Q31" i="18"/>
  <c r="Q33" i="18"/>
  <c r="Q34" i="18"/>
  <c r="Q36" i="18"/>
  <c r="Q37" i="18"/>
  <c r="Q38" i="18"/>
  <c r="Q40" i="18"/>
  <c r="Q41" i="18"/>
  <c r="Q42" i="18"/>
  <c r="Q43" i="18"/>
  <c r="Q45" i="18"/>
  <c r="Q46" i="18"/>
  <c r="P46" i="18" s="1"/>
  <c r="Q47" i="18"/>
  <c r="Q48" i="18"/>
  <c r="Q49" i="18"/>
  <c r="Q50" i="18"/>
  <c r="Q52" i="18"/>
  <c r="Q53" i="18"/>
  <c r="Q55" i="18"/>
  <c r="Q56" i="18"/>
  <c r="Q85" i="18"/>
  <c r="Q86" i="18"/>
  <c r="Q87" i="18"/>
  <c r="Q80" i="18"/>
  <c r="Q81" i="18"/>
  <c r="Q82" i="18"/>
  <c r="Q99" i="18"/>
  <c r="Q57" i="18"/>
  <c r="Q93" i="18"/>
  <c r="L16" i="8" s="1"/>
  <c r="Q94" i="18"/>
  <c r="Q95" i="18"/>
  <c r="Q4" i="18"/>
  <c r="Q61" i="18"/>
  <c r="Q62" i="18"/>
  <c r="Q63" i="18"/>
  <c r="Q64" i="18"/>
  <c r="Q66" i="18"/>
  <c r="Q67" i="18"/>
  <c r="Q69" i="18"/>
  <c r="Q70" i="18"/>
  <c r="Q72" i="18"/>
  <c r="Q73" i="18"/>
  <c r="Q74" i="18"/>
  <c r="Q75" i="18"/>
  <c r="Q6" i="18"/>
  <c r="L23" i="8" s="1"/>
  <c r="Q7" i="18"/>
  <c r="Q8" i="18"/>
  <c r="Q9" i="18"/>
  <c r="Q11" i="18"/>
  <c r="L24" i="8" s="1"/>
  <c r="Q12" i="18"/>
  <c r="Q13" i="18"/>
  <c r="P13" i="18" s="1"/>
  <c r="Q14" i="18"/>
  <c r="Q15" i="18"/>
  <c r="Q16" i="18"/>
  <c r="Q17" i="18"/>
  <c r="Q58" i="18"/>
  <c r="Q65" i="18"/>
  <c r="P65" i="18" s="1"/>
  <c r="Q89" i="18"/>
  <c r="Q90" i="18"/>
  <c r="Q91" i="18"/>
  <c r="Q96" i="18"/>
  <c r="Q97" i="18"/>
  <c r="Q79" i="18"/>
  <c r="Q103" i="18"/>
  <c r="L26" i="8"/>
  <c r="Q78" i="18"/>
  <c r="L27" i="8"/>
  <c r="Q102" i="18"/>
  <c r="L29" i="8" s="1"/>
  <c r="L61" i="8" s="1"/>
  <c r="E93" i="8" s="1"/>
  <c r="Q77" i="18"/>
  <c r="L30" i="8"/>
  <c r="Q100" i="18"/>
  <c r="L32" i="8"/>
  <c r="Q104" i="18"/>
  <c r="L33" i="8"/>
  <c r="Q107" i="18"/>
  <c r="L35" i="8"/>
  <c r="Q105" i="18"/>
  <c r="Q107" i="19"/>
  <c r="P107" i="19"/>
  <c r="P106" i="19"/>
  <c r="Q105" i="19"/>
  <c r="P105" i="19" s="1"/>
  <c r="Q104" i="19"/>
  <c r="P104" i="19"/>
  <c r="Q103" i="19"/>
  <c r="P103" i="19" s="1"/>
  <c r="Q102" i="19"/>
  <c r="P102" i="19" s="1"/>
  <c r="P101" i="19"/>
  <c r="Q100" i="19"/>
  <c r="P100" i="19"/>
  <c r="Q99" i="19"/>
  <c r="P99" i="19"/>
  <c r="P98" i="19"/>
  <c r="Q97" i="19"/>
  <c r="P97" i="19" s="1"/>
  <c r="Q96" i="19"/>
  <c r="P96" i="19" s="1"/>
  <c r="Q95" i="19"/>
  <c r="P95" i="19"/>
  <c r="Q94" i="19"/>
  <c r="P94" i="19" s="1"/>
  <c r="Q93" i="19"/>
  <c r="P93" i="19" s="1"/>
  <c r="P92" i="19"/>
  <c r="Q91" i="19"/>
  <c r="P91" i="19"/>
  <c r="Q90" i="19"/>
  <c r="P90" i="19"/>
  <c r="Q89" i="19"/>
  <c r="P89" i="19"/>
  <c r="P88" i="19"/>
  <c r="Q87" i="19"/>
  <c r="P87" i="19" s="1"/>
  <c r="Q86" i="19"/>
  <c r="P86" i="19"/>
  <c r="Q85" i="19"/>
  <c r="P85" i="19" s="1"/>
  <c r="P84" i="19"/>
  <c r="P83" i="19"/>
  <c r="Q82" i="19"/>
  <c r="P82" i="19" s="1"/>
  <c r="Q81" i="19"/>
  <c r="P81" i="19"/>
  <c r="Q80" i="19"/>
  <c r="P80" i="19" s="1"/>
  <c r="Q79" i="19"/>
  <c r="P79" i="19" s="1"/>
  <c r="Q78" i="19"/>
  <c r="P78" i="19" s="1"/>
  <c r="Q77" i="19"/>
  <c r="P77" i="19"/>
  <c r="P76" i="19"/>
  <c r="Q75" i="19"/>
  <c r="P75" i="19"/>
  <c r="Q74" i="19"/>
  <c r="P74" i="19"/>
  <c r="Q73" i="19"/>
  <c r="P73" i="19"/>
  <c r="Q72" i="19"/>
  <c r="P72" i="19"/>
  <c r="P71" i="19"/>
  <c r="Q70" i="19"/>
  <c r="P70" i="19" s="1"/>
  <c r="Q69" i="19"/>
  <c r="P69" i="19" s="1"/>
  <c r="P68" i="19"/>
  <c r="Q67" i="19"/>
  <c r="P67" i="19"/>
  <c r="Q66" i="19"/>
  <c r="P66" i="19"/>
  <c r="Q65" i="19"/>
  <c r="P65" i="19"/>
  <c r="Q64" i="19"/>
  <c r="P64" i="19" s="1"/>
  <c r="Q63" i="19"/>
  <c r="P63" i="19"/>
  <c r="Q62" i="19"/>
  <c r="P62" i="19"/>
  <c r="Q61" i="19"/>
  <c r="P61" i="19"/>
  <c r="P60" i="19"/>
  <c r="P59" i="19"/>
  <c r="Q58" i="19"/>
  <c r="P58" i="19"/>
  <c r="Q57" i="19"/>
  <c r="P57" i="19"/>
  <c r="Q56" i="19"/>
  <c r="P56" i="19"/>
  <c r="Q55" i="19"/>
  <c r="P55" i="19" s="1"/>
  <c r="P54" i="19"/>
  <c r="Q53" i="19"/>
  <c r="P53" i="19" s="1"/>
  <c r="Q52" i="19"/>
  <c r="P52" i="19" s="1"/>
  <c r="P51" i="19"/>
  <c r="Q50" i="19"/>
  <c r="P50" i="19" s="1"/>
  <c r="Q49" i="19"/>
  <c r="P49" i="19"/>
  <c r="Q48" i="19"/>
  <c r="P48" i="19"/>
  <c r="Q47" i="19"/>
  <c r="P47" i="19"/>
  <c r="Q46" i="19"/>
  <c r="P46" i="19" s="1"/>
  <c r="Q45" i="19"/>
  <c r="P45" i="19"/>
  <c r="P44" i="19"/>
  <c r="Q43" i="19"/>
  <c r="P43" i="19" s="1"/>
  <c r="Q42" i="19"/>
  <c r="P42" i="19" s="1"/>
  <c r="Q41" i="19"/>
  <c r="P41" i="19"/>
  <c r="Q40" i="19"/>
  <c r="P40" i="19" s="1"/>
  <c r="P39" i="19"/>
  <c r="Q38" i="19"/>
  <c r="P38" i="19"/>
  <c r="Q37" i="19"/>
  <c r="P37" i="19" s="1"/>
  <c r="Q36" i="19"/>
  <c r="P36" i="19"/>
  <c r="P35" i="19"/>
  <c r="Q34" i="19"/>
  <c r="P34" i="19" s="1"/>
  <c r="Q33" i="19"/>
  <c r="P33" i="19" s="1"/>
  <c r="P32" i="19"/>
  <c r="Q31" i="19"/>
  <c r="P31" i="19"/>
  <c r="Q30" i="19"/>
  <c r="P30" i="19"/>
  <c r="P29" i="19"/>
  <c r="Q28" i="19"/>
  <c r="P28" i="19" s="1"/>
  <c r="Q27" i="19"/>
  <c r="P27" i="19"/>
  <c r="Q26" i="19"/>
  <c r="P26" i="19" s="1"/>
  <c r="P25" i="19"/>
  <c r="Q24" i="19"/>
  <c r="P24" i="19"/>
  <c r="Q23" i="19"/>
  <c r="P23" i="19" s="1"/>
  <c r="Q22" i="19"/>
  <c r="P22" i="19"/>
  <c r="Q21" i="19"/>
  <c r="P21" i="19"/>
  <c r="Q20" i="19"/>
  <c r="P20" i="19"/>
  <c r="Q19" i="19"/>
  <c r="P19" i="19" s="1"/>
  <c r="G19" i="8" s="1"/>
  <c r="P18" i="19"/>
  <c r="Q17" i="19"/>
  <c r="P17" i="19" s="1"/>
  <c r="Q16" i="19"/>
  <c r="P16" i="19" s="1"/>
  <c r="Q15" i="19"/>
  <c r="P15" i="19" s="1"/>
  <c r="Q14" i="19"/>
  <c r="P14" i="19"/>
  <c r="Q13" i="19"/>
  <c r="P13" i="19" s="1"/>
  <c r="Q12" i="19"/>
  <c r="P12" i="19" s="1"/>
  <c r="G24" i="8" s="1"/>
  <c r="Q11" i="19"/>
  <c r="P11" i="19" s="1"/>
  <c r="P10" i="19"/>
  <c r="Q9" i="19"/>
  <c r="P9" i="19"/>
  <c r="Q8" i="19"/>
  <c r="P8" i="19"/>
  <c r="Q7" i="19"/>
  <c r="P7" i="19"/>
  <c r="Q6" i="19"/>
  <c r="P6" i="19" s="1"/>
  <c r="P5" i="19"/>
  <c r="Q4" i="19"/>
  <c r="Q106" i="22"/>
  <c r="P106" i="22"/>
  <c r="P105" i="22"/>
  <c r="P104" i="22"/>
  <c r="P103" i="22"/>
  <c r="P102" i="22"/>
  <c r="Q101" i="22"/>
  <c r="P101" i="22"/>
  <c r="P100" i="22"/>
  <c r="P99" i="22"/>
  <c r="Q98" i="22"/>
  <c r="P98" i="22" s="1"/>
  <c r="P97" i="22"/>
  <c r="P96" i="22"/>
  <c r="P94" i="22"/>
  <c r="P93" i="22"/>
  <c r="Q92" i="22"/>
  <c r="P92" i="22" s="1"/>
  <c r="P91" i="22"/>
  <c r="P90" i="22"/>
  <c r="P89" i="22"/>
  <c r="Q88" i="22"/>
  <c r="P88" i="22"/>
  <c r="P87" i="22"/>
  <c r="P86" i="22"/>
  <c r="P85" i="22"/>
  <c r="Q84" i="22"/>
  <c r="P84" i="22"/>
  <c r="Q83" i="22"/>
  <c r="P83" i="22" s="1"/>
  <c r="P82" i="22"/>
  <c r="P80" i="22"/>
  <c r="P78" i="22"/>
  <c r="Q76" i="22"/>
  <c r="P76" i="22" s="1"/>
  <c r="P75" i="22"/>
  <c r="P74" i="22"/>
  <c r="P73" i="22"/>
  <c r="P72" i="22"/>
  <c r="Q71" i="22"/>
  <c r="P71" i="22"/>
  <c r="P70" i="22"/>
  <c r="P69" i="22"/>
  <c r="Q68" i="22"/>
  <c r="P68" i="22" s="1"/>
  <c r="P67" i="22"/>
  <c r="P65" i="22"/>
  <c r="P64" i="22"/>
  <c r="P63" i="22"/>
  <c r="P62" i="22"/>
  <c r="P61" i="22"/>
  <c r="Q60" i="22"/>
  <c r="P60" i="22"/>
  <c r="Q59" i="22"/>
  <c r="P59" i="22" s="1"/>
  <c r="P58" i="22"/>
  <c r="P57" i="22"/>
  <c r="P56" i="22"/>
  <c r="P55" i="22"/>
  <c r="Q54" i="22"/>
  <c r="P54" i="22"/>
  <c r="P52" i="22"/>
  <c r="Q51" i="22"/>
  <c r="P51" i="22"/>
  <c r="P50" i="22"/>
  <c r="P49" i="22"/>
  <c r="P48" i="22"/>
  <c r="P47" i="22"/>
  <c r="P46" i="22"/>
  <c r="P45" i="22"/>
  <c r="Q44" i="22"/>
  <c r="P44" i="22"/>
  <c r="P42" i="22"/>
  <c r="P41" i="22"/>
  <c r="P40" i="22"/>
  <c r="Q39" i="22"/>
  <c r="P39" i="22" s="1"/>
  <c r="P38" i="22"/>
  <c r="P37" i="22"/>
  <c r="P36" i="22"/>
  <c r="Q35" i="22"/>
  <c r="P35" i="22" s="1"/>
  <c r="P34" i="22"/>
  <c r="Q32" i="22"/>
  <c r="P32" i="22"/>
  <c r="P31" i="22"/>
  <c r="P30" i="22"/>
  <c r="Q29" i="22"/>
  <c r="P29" i="22" s="1"/>
  <c r="P28" i="22"/>
  <c r="P27" i="22"/>
  <c r="P26" i="22"/>
  <c r="Q25" i="22"/>
  <c r="P25" i="22"/>
  <c r="P24" i="22"/>
  <c r="P23" i="22"/>
  <c r="P22" i="22"/>
  <c r="P21" i="22"/>
  <c r="P19" i="22"/>
  <c r="Q18" i="22"/>
  <c r="P18" i="22"/>
  <c r="P17" i="22"/>
  <c r="P16" i="22"/>
  <c r="P15" i="22"/>
  <c r="P14" i="22"/>
  <c r="P13" i="22"/>
  <c r="P12" i="22"/>
  <c r="Q10" i="22"/>
  <c r="P10" i="22" s="1"/>
  <c r="P9" i="22"/>
  <c r="P8" i="22"/>
  <c r="P7" i="22"/>
  <c r="P6" i="22"/>
  <c r="Q5" i="22"/>
  <c r="P5" i="22"/>
  <c r="P4" i="22"/>
  <c r="P107" i="18"/>
  <c r="Q106" i="18"/>
  <c r="P106" i="18" s="1"/>
  <c r="P104" i="18"/>
  <c r="P103" i="18"/>
  <c r="P102" i="18"/>
  <c r="Q101" i="18"/>
  <c r="P101" i="18" s="1"/>
  <c r="P100" i="18"/>
  <c r="Q98" i="18"/>
  <c r="P98" i="18" s="1"/>
  <c r="P97" i="18"/>
  <c r="P96" i="18"/>
  <c r="P95" i="18"/>
  <c r="P94" i="18"/>
  <c r="P93" i="18"/>
  <c r="Q92" i="18"/>
  <c r="P92" i="18"/>
  <c r="P91" i="18"/>
  <c r="P90" i="18"/>
  <c r="P89" i="18"/>
  <c r="Q88" i="18"/>
  <c r="P87" i="18"/>
  <c r="P86" i="18"/>
  <c r="P85" i="18"/>
  <c r="Q84" i="18"/>
  <c r="P84" i="18" s="1"/>
  <c r="Q83" i="18"/>
  <c r="P83" i="18"/>
  <c r="P82" i="18"/>
  <c r="P81" i="18"/>
  <c r="P80" i="18"/>
  <c r="P79" i="18"/>
  <c r="P78" i="18"/>
  <c r="P77" i="18"/>
  <c r="Q76" i="18"/>
  <c r="P76" i="18"/>
  <c r="P75" i="18"/>
  <c r="P74" i="18"/>
  <c r="P73" i="18"/>
  <c r="P72" i="18"/>
  <c r="Q71" i="18"/>
  <c r="P71" i="18" s="1"/>
  <c r="P70" i="18"/>
  <c r="Q68" i="18"/>
  <c r="P68" i="18"/>
  <c r="P67" i="18"/>
  <c r="P66" i="18"/>
  <c r="P64" i="18"/>
  <c r="P63" i="18"/>
  <c r="P62" i="18"/>
  <c r="P61" i="18"/>
  <c r="Q60" i="18"/>
  <c r="P60" i="18" s="1"/>
  <c r="Q59" i="18"/>
  <c r="P59" i="18" s="1"/>
  <c r="P58" i="18"/>
  <c r="P57" i="18"/>
  <c r="P56" i="18"/>
  <c r="P55" i="18"/>
  <c r="Q54" i="18"/>
  <c r="P54" i="18" s="1"/>
  <c r="P53" i="18"/>
  <c r="P52" i="18"/>
  <c r="Q51" i="18"/>
  <c r="P51" i="18"/>
  <c r="P50" i="18"/>
  <c r="P49" i="18"/>
  <c r="P48" i="18"/>
  <c r="P47" i="18"/>
  <c r="P45" i="18"/>
  <c r="Q44" i="18"/>
  <c r="P44" i="18"/>
  <c r="P43" i="18"/>
  <c r="P42" i="18"/>
  <c r="P41" i="18"/>
  <c r="P40" i="18"/>
  <c r="Q39" i="18"/>
  <c r="P39" i="18" s="1"/>
  <c r="P38" i="18"/>
  <c r="P37" i="18"/>
  <c r="P36" i="18"/>
  <c r="Q35" i="18"/>
  <c r="P35" i="18"/>
  <c r="P34" i="18"/>
  <c r="P33" i="18"/>
  <c r="Q32" i="18"/>
  <c r="P32" i="18" s="1"/>
  <c r="P31" i="18"/>
  <c r="P30" i="18"/>
  <c r="Q29" i="18"/>
  <c r="P29" i="18"/>
  <c r="P28" i="18"/>
  <c r="P27" i="18"/>
  <c r="P26" i="18"/>
  <c r="Q25" i="18"/>
  <c r="P25" i="18"/>
  <c r="P24" i="18"/>
  <c r="P23" i="18"/>
  <c r="P21" i="18"/>
  <c r="P20" i="18"/>
  <c r="P19" i="18"/>
  <c r="Q18" i="18"/>
  <c r="P18" i="18"/>
  <c r="P17" i="18"/>
  <c r="P16" i="18"/>
  <c r="P15" i="18"/>
  <c r="P14" i="18"/>
  <c r="P12" i="18"/>
  <c r="P11" i="18"/>
  <c r="Q10" i="18"/>
  <c r="P10" i="18"/>
  <c r="P9" i="18"/>
  <c r="P8" i="18"/>
  <c r="P7" i="18"/>
  <c r="P6" i="18"/>
  <c r="Q5" i="18"/>
  <c r="P5" i="18" s="1"/>
  <c r="M14" i="5"/>
  <c r="M20" i="5"/>
  <c r="M22" i="5"/>
  <c r="M24" i="5"/>
  <c r="M25" i="5"/>
  <c r="M29" i="5"/>
  <c r="M33" i="5"/>
  <c r="M36" i="5"/>
  <c r="M47" i="5"/>
  <c r="M50" i="5"/>
  <c r="M52" i="5"/>
  <c r="M53" i="5"/>
  <c r="Q135" i="18"/>
  <c r="K49" i="5" s="1"/>
  <c r="Q136" i="18"/>
  <c r="K50" i="5"/>
  <c r="Q137" i="18"/>
  <c r="K51" i="5" s="1"/>
  <c r="Q138" i="18"/>
  <c r="K52" i="5" s="1"/>
  <c r="Q139" i="18"/>
  <c r="K53" i="5" s="1"/>
  <c r="Q141" i="18"/>
  <c r="K55" i="5"/>
  <c r="Q133" i="18"/>
  <c r="K47" i="5"/>
  <c r="Q131" i="18"/>
  <c r="K42" i="5" s="1"/>
  <c r="Q132" i="18"/>
  <c r="K43" i="5"/>
  <c r="Q124" i="18"/>
  <c r="K32" i="5" s="1"/>
  <c r="Q125" i="18"/>
  <c r="K33" i="5" s="1"/>
  <c r="Q126" i="18"/>
  <c r="K35" i="5"/>
  <c r="Q127" i="18"/>
  <c r="K36" i="5"/>
  <c r="O36" i="5" s="1"/>
  <c r="P36" i="5" s="1"/>
  <c r="Q128" i="18"/>
  <c r="K38" i="5" s="1"/>
  <c r="Q110" i="18"/>
  <c r="K16" i="5"/>
  <c r="Q111" i="18"/>
  <c r="K17" i="5"/>
  <c r="Q112" i="18"/>
  <c r="K19" i="5" s="1"/>
  <c r="Q113" i="18"/>
  <c r="K20" i="5"/>
  <c r="Q114" i="18"/>
  <c r="K21" i="5" s="1"/>
  <c r="Q115" i="18"/>
  <c r="K22" i="5" s="1"/>
  <c r="Q117" i="18"/>
  <c r="K24" i="5"/>
  <c r="Q118" i="18"/>
  <c r="K25" i="5"/>
  <c r="Q119" i="18"/>
  <c r="Q120" i="18"/>
  <c r="K27" i="5" s="1"/>
  <c r="Q121" i="18"/>
  <c r="K28" i="5"/>
  <c r="Q122" i="18"/>
  <c r="K29" i="5"/>
  <c r="Q109" i="18"/>
  <c r="K14" i="5" s="1"/>
  <c r="P52" i="5"/>
  <c r="O50" i="5"/>
  <c r="P50" i="5"/>
  <c r="O47" i="5"/>
  <c r="P47" i="5"/>
  <c r="O32" i="5"/>
  <c r="O29" i="5"/>
  <c r="P29" i="5"/>
  <c r="O25" i="5"/>
  <c r="P25" i="5"/>
  <c r="O22" i="5"/>
  <c r="P22" i="5" s="1"/>
  <c r="O20" i="5"/>
  <c r="P20" i="5" s="1"/>
  <c r="U55" i="5"/>
  <c r="J36" i="4" s="1"/>
  <c r="U53" i="5"/>
  <c r="U52" i="5"/>
  <c r="U51" i="5"/>
  <c r="U50" i="5"/>
  <c r="J35" i="4" s="1"/>
  <c r="U49" i="5"/>
  <c r="U47" i="5"/>
  <c r="U43" i="5"/>
  <c r="U42" i="5"/>
  <c r="J33" i="4" s="1"/>
  <c r="U38" i="5"/>
  <c r="U36" i="5"/>
  <c r="U35" i="5"/>
  <c r="U33" i="5"/>
  <c r="U32" i="5"/>
  <c r="U29" i="5"/>
  <c r="U28" i="5"/>
  <c r="U27" i="5"/>
  <c r="U26" i="5"/>
  <c r="U25" i="5"/>
  <c r="U24" i="5"/>
  <c r="U22" i="5"/>
  <c r="U21" i="5"/>
  <c r="U20" i="5"/>
  <c r="U19" i="5"/>
  <c r="U17" i="5"/>
  <c r="J16" i="4" s="1"/>
  <c r="U16" i="5"/>
  <c r="J20" i="4" s="1"/>
  <c r="D20" i="4" s="1"/>
  <c r="U14" i="5"/>
  <c r="P140" i="22"/>
  <c r="P134" i="22"/>
  <c r="P130" i="22"/>
  <c r="Q130" i="22" s="1"/>
  <c r="P129" i="22"/>
  <c r="P123" i="22"/>
  <c r="Q123" i="22" s="1"/>
  <c r="P116" i="22"/>
  <c r="Q116" i="22" s="1"/>
  <c r="Q140" i="22"/>
  <c r="Q134" i="22"/>
  <c r="Q129" i="22"/>
  <c r="J17" i="4"/>
  <c r="Q132" i="19"/>
  <c r="F43" i="5" s="1"/>
  <c r="I17" i="4" s="1"/>
  <c r="D43" i="5"/>
  <c r="H17" i="4"/>
  <c r="Q111" i="19"/>
  <c r="F17" i="5" s="1"/>
  <c r="I16" i="4" s="1"/>
  <c r="D17" i="5"/>
  <c r="H16" i="4" s="1"/>
  <c r="Q127" i="19"/>
  <c r="F36" i="5" s="1"/>
  <c r="Q125" i="19"/>
  <c r="F33" i="5" s="1"/>
  <c r="D33" i="5"/>
  <c r="D36" i="5"/>
  <c r="H15" i="4"/>
  <c r="J40" i="4"/>
  <c r="D40" i="4" s="1"/>
  <c r="D47" i="5"/>
  <c r="H41" i="4" s="1"/>
  <c r="D41" i="4" s="1"/>
  <c r="Q133" i="19"/>
  <c r="F47" i="5" s="1"/>
  <c r="I41" i="4" s="1"/>
  <c r="E41" i="4" s="1"/>
  <c r="Q141" i="19"/>
  <c r="F55" i="5" s="1"/>
  <c r="I36" i="4" s="1"/>
  <c r="E36" i="4"/>
  <c r="D55" i="5"/>
  <c r="H36" i="4" s="1"/>
  <c r="Q136" i="19"/>
  <c r="F50" i="5" s="1"/>
  <c r="Q137" i="19"/>
  <c r="F51" i="5"/>
  <c r="Q138" i="19"/>
  <c r="F52" i="5" s="1"/>
  <c r="Q139" i="19"/>
  <c r="F53" i="5"/>
  <c r="D50" i="5"/>
  <c r="D51" i="5"/>
  <c r="D52" i="5"/>
  <c r="D53" i="5"/>
  <c r="J34" i="4"/>
  <c r="Q135" i="19"/>
  <c r="F49" i="5"/>
  <c r="I34" i="4"/>
  <c r="D49" i="5"/>
  <c r="H34" i="4" s="1"/>
  <c r="D34" i="4" s="1"/>
  <c r="Q131" i="19"/>
  <c r="F42" i="5"/>
  <c r="I33" i="4"/>
  <c r="E33" i="4" s="1"/>
  <c r="D42" i="5"/>
  <c r="H33" i="4" s="1"/>
  <c r="J29" i="4"/>
  <c r="Q126" i="19"/>
  <c r="F35" i="5"/>
  <c r="I29" i="4" s="1"/>
  <c r="Q128" i="19"/>
  <c r="F38" i="5"/>
  <c r="D35" i="5"/>
  <c r="H29" i="4" s="1"/>
  <c r="D38" i="5"/>
  <c r="D29" i="4"/>
  <c r="J28" i="4"/>
  <c r="Q124" i="19"/>
  <c r="F32" i="5" s="1"/>
  <c r="I28" i="4" s="1"/>
  <c r="D32" i="5"/>
  <c r="H28" i="4" s="1"/>
  <c r="D28" i="4"/>
  <c r="J24" i="4"/>
  <c r="Q120" i="19"/>
  <c r="F27" i="5"/>
  <c r="I24" i="4" s="1"/>
  <c r="E24" i="4" s="1"/>
  <c r="Q121" i="19"/>
  <c r="F28" i="5"/>
  <c r="Q122" i="19"/>
  <c r="F29" i="5" s="1"/>
  <c r="D27" i="5"/>
  <c r="D28" i="5"/>
  <c r="D29" i="5"/>
  <c r="J23" i="4"/>
  <c r="Q118" i="19"/>
  <c r="F25" i="5" s="1"/>
  <c r="I23" i="4" s="1"/>
  <c r="E23" i="4" s="1"/>
  <c r="Q119" i="19"/>
  <c r="F26" i="5"/>
  <c r="D25" i="5"/>
  <c r="J22" i="4"/>
  <c r="Q117" i="19"/>
  <c r="F24" i="5" s="1"/>
  <c r="I22" i="4" s="1"/>
  <c r="D24" i="5"/>
  <c r="H22" i="4"/>
  <c r="Q112" i="19"/>
  <c r="F19" i="5" s="1"/>
  <c r="I21" i="4" s="1"/>
  <c r="Q113" i="19"/>
  <c r="F20" i="5" s="1"/>
  <c r="Q114" i="19"/>
  <c r="F21" i="5"/>
  <c r="Q115" i="19"/>
  <c r="F22" i="5"/>
  <c r="Q109" i="19"/>
  <c r="F14" i="5" s="1"/>
  <c r="D19" i="5"/>
  <c r="D20" i="5"/>
  <c r="D21" i="5"/>
  <c r="D22" i="5"/>
  <c r="D14" i="5"/>
  <c r="J4" i="4"/>
  <c r="D16" i="5"/>
  <c r="H20" i="4"/>
  <c r="S43" i="5"/>
  <c r="S17" i="5"/>
  <c r="S33" i="5"/>
  <c r="S36" i="5"/>
  <c r="Q110" i="19"/>
  <c r="F16" i="5" s="1"/>
  <c r="I20" i="4" s="1"/>
  <c r="L67" i="8"/>
  <c r="E99" i="8" s="1"/>
  <c r="L65" i="8"/>
  <c r="E97" i="8"/>
  <c r="L64" i="8"/>
  <c r="E96" i="8" s="1"/>
  <c r="L62" i="8"/>
  <c r="E94" i="8"/>
  <c r="L59" i="8"/>
  <c r="E91" i="8"/>
  <c r="L58" i="8"/>
  <c r="E90" i="8"/>
  <c r="L56" i="8"/>
  <c r="E88" i="8"/>
  <c r="L55" i="8"/>
  <c r="E87" i="8" s="1"/>
  <c r="L50" i="8"/>
  <c r="E82" i="8"/>
  <c r="L48" i="8"/>
  <c r="E80" i="8"/>
  <c r="E18" i="8"/>
  <c r="E19" i="8"/>
  <c r="E51" i="8" s="1"/>
  <c r="E20" i="8"/>
  <c r="E23" i="8"/>
  <c r="E55" i="8" s="1"/>
  <c r="E24" i="8"/>
  <c r="E26" i="8"/>
  <c r="E27" i="8"/>
  <c r="E59" i="8" s="1"/>
  <c r="E29" i="8"/>
  <c r="E30" i="8"/>
  <c r="E62" i="8" s="1"/>
  <c r="E32" i="8"/>
  <c r="E33" i="8"/>
  <c r="E65" i="8" s="1"/>
  <c r="E35" i="8"/>
  <c r="E67" i="8" s="1"/>
  <c r="E64" i="8"/>
  <c r="E61" i="8"/>
  <c r="E58" i="8"/>
  <c r="E56" i="8"/>
  <c r="E50" i="8"/>
  <c r="S42" i="5"/>
  <c r="S44" i="5"/>
  <c r="S32" i="5"/>
  <c r="S34" i="5" s="1"/>
  <c r="S39" i="5" s="1"/>
  <c r="S35" i="5"/>
  <c r="S37" i="5" s="1"/>
  <c r="S38" i="5"/>
  <c r="S16" i="5"/>
  <c r="S18" i="5"/>
  <c r="S19" i="5"/>
  <c r="S20" i="5"/>
  <c r="S21" i="5"/>
  <c r="S22" i="5"/>
  <c r="S24" i="5"/>
  <c r="S25" i="5"/>
  <c r="S26" i="5"/>
  <c r="S27" i="5"/>
  <c r="S28" i="5"/>
  <c r="S29" i="5"/>
  <c r="S14" i="5"/>
  <c r="U44" i="5"/>
  <c r="U37" i="5"/>
  <c r="U18" i="5"/>
  <c r="R141" i="18"/>
  <c r="P141" i="18"/>
  <c r="R140" i="18"/>
  <c r="Q140" i="18"/>
  <c r="P140" i="18"/>
  <c r="R139" i="18"/>
  <c r="P139" i="18"/>
  <c r="R138" i="18"/>
  <c r="P138" i="18"/>
  <c r="R137" i="18"/>
  <c r="P137" i="18"/>
  <c r="R136" i="18"/>
  <c r="P136" i="18"/>
  <c r="R135" i="18"/>
  <c r="P135" i="18"/>
  <c r="R134" i="18"/>
  <c r="Q134" i="18"/>
  <c r="P134" i="18"/>
  <c r="R133" i="18"/>
  <c r="P133" i="18"/>
  <c r="R132" i="18"/>
  <c r="P132" i="18"/>
  <c r="R131" i="18"/>
  <c r="P131" i="18"/>
  <c r="R130" i="18"/>
  <c r="Q130" i="18"/>
  <c r="P130" i="18"/>
  <c r="R129" i="18"/>
  <c r="Q129" i="18"/>
  <c r="P129" i="18"/>
  <c r="R128" i="18"/>
  <c r="P128" i="18"/>
  <c r="R127" i="18"/>
  <c r="P127" i="18"/>
  <c r="R126" i="18"/>
  <c r="P126" i="18"/>
  <c r="R125" i="18"/>
  <c r="P125" i="18"/>
  <c r="R124" i="18"/>
  <c r="P124" i="18"/>
  <c r="R123" i="18"/>
  <c r="Q123" i="18"/>
  <c r="P123" i="18"/>
  <c r="R122" i="18"/>
  <c r="P122" i="18"/>
  <c r="R121" i="18"/>
  <c r="P121" i="18"/>
  <c r="R120" i="18"/>
  <c r="P120" i="18"/>
  <c r="R119" i="18"/>
  <c r="P119" i="18"/>
  <c r="R118" i="18"/>
  <c r="P118" i="18"/>
  <c r="R117" i="18"/>
  <c r="P117" i="18"/>
  <c r="R116" i="18"/>
  <c r="Q116" i="18"/>
  <c r="P116" i="18"/>
  <c r="R115" i="18"/>
  <c r="P115" i="18"/>
  <c r="R114" i="18"/>
  <c r="P114" i="18"/>
  <c r="R113" i="18"/>
  <c r="P113" i="18"/>
  <c r="R112" i="18"/>
  <c r="P112" i="18"/>
  <c r="R111" i="18"/>
  <c r="P111" i="18"/>
  <c r="R110" i="18"/>
  <c r="P110" i="18"/>
  <c r="R109" i="18"/>
  <c r="P109" i="18"/>
  <c r="R108" i="18"/>
  <c r="Q108" i="18"/>
  <c r="P141" i="19"/>
  <c r="P140" i="19"/>
  <c r="P139" i="19"/>
  <c r="P138" i="19"/>
  <c r="P137" i="19"/>
  <c r="P136" i="19"/>
  <c r="P135" i="19"/>
  <c r="P134" i="19"/>
  <c r="P133" i="19"/>
  <c r="P132" i="19"/>
  <c r="P131" i="19"/>
  <c r="P130" i="19"/>
  <c r="P129" i="19"/>
  <c r="P128" i="19"/>
  <c r="P127" i="19"/>
  <c r="P126" i="19"/>
  <c r="P125" i="19"/>
  <c r="P124" i="19"/>
  <c r="P123" i="19"/>
  <c r="P122" i="19"/>
  <c r="P121" i="19"/>
  <c r="P120" i="19"/>
  <c r="P119" i="19"/>
  <c r="P118" i="19"/>
  <c r="P117" i="19"/>
  <c r="P116" i="19"/>
  <c r="P115" i="19"/>
  <c r="P114" i="19"/>
  <c r="P113" i="19"/>
  <c r="P112" i="19"/>
  <c r="P111" i="19"/>
  <c r="P110" i="19"/>
  <c r="P109" i="19"/>
  <c r="R107" i="18"/>
  <c r="R106" i="18"/>
  <c r="R104" i="18"/>
  <c r="R103" i="18"/>
  <c r="R102" i="18"/>
  <c r="R101" i="18"/>
  <c r="R100" i="18"/>
  <c r="R98" i="18"/>
  <c r="R97" i="18"/>
  <c r="R96" i="18"/>
  <c r="R94" i="18"/>
  <c r="R93" i="18"/>
  <c r="R92" i="18"/>
  <c r="R91" i="18"/>
  <c r="R90" i="18"/>
  <c r="R89" i="18"/>
  <c r="R87" i="18"/>
  <c r="R86" i="18"/>
  <c r="R85" i="18"/>
  <c r="R84" i="18"/>
  <c r="R83" i="18"/>
  <c r="R82" i="18"/>
  <c r="R81" i="18"/>
  <c r="R80" i="18"/>
  <c r="R79" i="18"/>
  <c r="R78" i="18"/>
  <c r="R77" i="18"/>
  <c r="R76" i="18"/>
  <c r="R75" i="18"/>
  <c r="R74" i="18"/>
  <c r="R73" i="18"/>
  <c r="R72" i="18"/>
  <c r="R71" i="18"/>
  <c r="R70" i="18"/>
  <c r="R68" i="18"/>
  <c r="R67" i="18"/>
  <c r="R66" i="18"/>
  <c r="R65" i="18"/>
  <c r="R64" i="18"/>
  <c r="R63" i="18"/>
  <c r="R62" i="18"/>
  <c r="R61" i="18"/>
  <c r="R60" i="18"/>
  <c r="R59" i="18"/>
  <c r="R58" i="18"/>
  <c r="R57" i="18"/>
  <c r="R56" i="18"/>
  <c r="R55" i="18"/>
  <c r="R54" i="18"/>
  <c r="R53" i="18"/>
  <c r="R52" i="18"/>
  <c r="R51" i="18"/>
  <c r="R50" i="18"/>
  <c r="R49" i="18"/>
  <c r="R48" i="18"/>
  <c r="R47" i="18"/>
  <c r="R46" i="18"/>
  <c r="R45" i="18"/>
  <c r="R44" i="18"/>
  <c r="R43" i="18"/>
  <c r="R42" i="18"/>
  <c r="R41" i="18"/>
  <c r="R40" i="18"/>
  <c r="R39" i="18"/>
  <c r="R38" i="18"/>
  <c r="R37" i="18"/>
  <c r="R36" i="18"/>
  <c r="R35" i="18"/>
  <c r="R34" i="18"/>
  <c r="R33" i="18"/>
  <c r="R32" i="18"/>
  <c r="R31" i="18"/>
  <c r="R30" i="18"/>
  <c r="R29" i="18"/>
  <c r="R28" i="18"/>
  <c r="R27" i="18"/>
  <c r="R26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6" i="18"/>
  <c r="R5" i="18"/>
  <c r="O143" i="19"/>
  <c r="O145" i="19" s="1"/>
  <c r="O144" i="19"/>
  <c r="N143" i="19"/>
  <c r="N145" i="19" s="1"/>
  <c r="N144" i="19"/>
  <c r="M143" i="19"/>
  <c r="M144" i="19"/>
  <c r="M145" i="19"/>
  <c r="L143" i="19"/>
  <c r="L144" i="19"/>
  <c r="L145" i="19"/>
  <c r="K143" i="19"/>
  <c r="K144" i="19"/>
  <c r="K145" i="19" s="1"/>
  <c r="J143" i="19"/>
  <c r="J144" i="19"/>
  <c r="I143" i="19"/>
  <c r="I145" i="19" s="1"/>
  <c r="I144" i="19"/>
  <c r="H143" i="19"/>
  <c r="H145" i="19" s="1"/>
  <c r="H144" i="19"/>
  <c r="G143" i="19"/>
  <c r="G145" i="19" s="1"/>
  <c r="G144" i="19"/>
  <c r="F143" i="19"/>
  <c r="F144" i="19"/>
  <c r="F145" i="19"/>
  <c r="E143" i="19"/>
  <c r="E144" i="19"/>
  <c r="E145" i="19"/>
  <c r="D143" i="19"/>
  <c r="D144" i="19"/>
  <c r="D145" i="19"/>
  <c r="O143" i="18"/>
  <c r="O144" i="18"/>
  <c r="O145" i="18" s="1"/>
  <c r="N143" i="18"/>
  <c r="N144" i="18"/>
  <c r="M143" i="18"/>
  <c r="M145" i="18" s="1"/>
  <c r="M144" i="18"/>
  <c r="L143" i="18"/>
  <c r="L145" i="18" s="1"/>
  <c r="L144" i="18"/>
  <c r="K143" i="18"/>
  <c r="K145" i="18" s="1"/>
  <c r="K144" i="18"/>
  <c r="J143" i="18"/>
  <c r="J144" i="18"/>
  <c r="J145" i="18"/>
  <c r="I143" i="18"/>
  <c r="I144" i="18"/>
  <c r="I145" i="18"/>
  <c r="H143" i="18"/>
  <c r="H144" i="18"/>
  <c r="H145" i="18"/>
  <c r="G143" i="18"/>
  <c r="G144" i="18"/>
  <c r="G145" i="18" s="1"/>
  <c r="F143" i="18"/>
  <c r="F144" i="18"/>
  <c r="E143" i="18"/>
  <c r="E144" i="18"/>
  <c r="D143" i="18"/>
  <c r="D145" i="18" s="1"/>
  <c r="D144" i="18"/>
  <c r="D30" i="4"/>
  <c r="W18" i="20"/>
  <c r="G18" i="8"/>
  <c r="G20" i="8"/>
  <c r="G21" i="8"/>
  <c r="G16" i="8"/>
  <c r="G14" i="8"/>
  <c r="G23" i="8"/>
  <c r="D143" i="22"/>
  <c r="D145" i="22" s="1"/>
  <c r="E143" i="22"/>
  <c r="F143" i="22"/>
  <c r="G143" i="22"/>
  <c r="H143" i="22"/>
  <c r="I143" i="22"/>
  <c r="J143" i="22"/>
  <c r="K143" i="22"/>
  <c r="L143" i="22"/>
  <c r="L145" i="22" s="1"/>
  <c r="M143" i="22"/>
  <c r="N143" i="22"/>
  <c r="D144" i="22"/>
  <c r="E144" i="22"/>
  <c r="F144" i="22"/>
  <c r="G144" i="22"/>
  <c r="H144" i="22"/>
  <c r="I144" i="22"/>
  <c r="J144" i="22"/>
  <c r="K144" i="22"/>
  <c r="L144" i="22"/>
  <c r="M144" i="22"/>
  <c r="N144" i="22"/>
  <c r="O144" i="22"/>
  <c r="E145" i="22"/>
  <c r="G145" i="22"/>
  <c r="H145" i="22"/>
  <c r="J145" i="22"/>
  <c r="M145" i="22"/>
  <c r="O145" i="22"/>
  <c r="C1" i="8"/>
  <c r="C1" i="16" s="1"/>
  <c r="D20" i="20"/>
  <c r="E5" i="17" s="1"/>
  <c r="C3" i="16"/>
  <c r="E10" i="16"/>
  <c r="G10" i="16" s="1"/>
  <c r="F10" i="16"/>
  <c r="H10" i="16" s="1"/>
  <c r="J10" i="16"/>
  <c r="K10" i="16"/>
  <c r="L10" i="16"/>
  <c r="E11" i="16"/>
  <c r="G11" i="16" s="1"/>
  <c r="H11" i="16" s="1"/>
  <c r="F11" i="16"/>
  <c r="J11" i="16"/>
  <c r="K11" i="16"/>
  <c r="L11" i="16" s="1"/>
  <c r="E12" i="16"/>
  <c r="F12" i="16"/>
  <c r="J12" i="16"/>
  <c r="K12" i="16"/>
  <c r="L12" i="16" s="1"/>
  <c r="E13" i="16"/>
  <c r="G13" i="16" s="1"/>
  <c r="H13" i="16" s="1"/>
  <c r="F13" i="16"/>
  <c r="J13" i="16"/>
  <c r="K13" i="16"/>
  <c r="E14" i="16"/>
  <c r="G14" i="16" s="1"/>
  <c r="F14" i="16"/>
  <c r="H14" i="16" s="1"/>
  <c r="J14" i="16"/>
  <c r="K14" i="16"/>
  <c r="L14" i="16"/>
  <c r="E15" i="16"/>
  <c r="G15" i="16" s="1"/>
  <c r="H15" i="16" s="1"/>
  <c r="F15" i="16"/>
  <c r="J15" i="16"/>
  <c r="J16" i="16" s="1"/>
  <c r="K15" i="16"/>
  <c r="F16" i="16"/>
  <c r="F17" i="16"/>
  <c r="J17" i="16"/>
  <c r="K17" i="16"/>
  <c r="E18" i="16"/>
  <c r="G18" i="16" s="1"/>
  <c r="F18" i="16"/>
  <c r="F19" i="16" s="1"/>
  <c r="J18" i="16"/>
  <c r="K18" i="16"/>
  <c r="L18" i="16"/>
  <c r="E20" i="16"/>
  <c r="F20" i="16"/>
  <c r="J20" i="16"/>
  <c r="K20" i="16"/>
  <c r="L20" i="16" s="1"/>
  <c r="E21" i="16"/>
  <c r="G21" i="16" s="1"/>
  <c r="H21" i="16" s="1"/>
  <c r="F21" i="16"/>
  <c r="J21" i="16"/>
  <c r="K21" i="16"/>
  <c r="E22" i="16"/>
  <c r="G22" i="16" s="1"/>
  <c r="F22" i="16"/>
  <c r="H22" i="16" s="1"/>
  <c r="J22" i="16"/>
  <c r="K22" i="16"/>
  <c r="L22" i="16"/>
  <c r="F23" i="16"/>
  <c r="H23" i="16"/>
  <c r="J23" i="16"/>
  <c r="L23" i="16" s="1"/>
  <c r="K23" i="16"/>
  <c r="M23" i="16" s="1"/>
  <c r="F24" i="16"/>
  <c r="C1" i="17"/>
  <c r="C3" i="17"/>
  <c r="J5" i="17"/>
  <c r="E10" i="17"/>
  <c r="F10" i="17"/>
  <c r="J10" i="17"/>
  <c r="L10" i="17" s="1"/>
  <c r="M10" i="17" s="1"/>
  <c r="K10" i="17"/>
  <c r="E11" i="17"/>
  <c r="F11" i="17"/>
  <c r="J11" i="17"/>
  <c r="L11" i="17" s="1"/>
  <c r="K11" i="17"/>
  <c r="K14" i="17" s="1"/>
  <c r="E12" i="17"/>
  <c r="F12" i="17"/>
  <c r="J12" i="17"/>
  <c r="L12" i="17" s="1"/>
  <c r="K12" i="17"/>
  <c r="E13" i="17"/>
  <c r="F13" i="17"/>
  <c r="J13" i="17"/>
  <c r="K13" i="17"/>
  <c r="L13" i="17" s="1"/>
  <c r="J14" i="17"/>
  <c r="L14" i="17" s="1"/>
  <c r="E17" i="17"/>
  <c r="G17" i="17" s="1"/>
  <c r="H17" i="17" s="1"/>
  <c r="F17" i="17"/>
  <c r="J17" i="17"/>
  <c r="K17" i="17"/>
  <c r="E18" i="17"/>
  <c r="G18" i="17" s="1"/>
  <c r="F18" i="17"/>
  <c r="H18" i="17" s="1"/>
  <c r="J18" i="17"/>
  <c r="K18" i="17"/>
  <c r="M18" i="17" s="1"/>
  <c r="L18" i="17"/>
  <c r="E19" i="17"/>
  <c r="G19" i="17" s="1"/>
  <c r="F19" i="17"/>
  <c r="H19" i="17" s="1"/>
  <c r="J19" i="17"/>
  <c r="K19" i="17"/>
  <c r="L19" i="17"/>
  <c r="M19" i="17"/>
  <c r="E20" i="17"/>
  <c r="F20" i="17"/>
  <c r="J20" i="17"/>
  <c r="L20" i="17" s="1"/>
  <c r="M20" i="17" s="1"/>
  <c r="K20" i="17"/>
  <c r="E21" i="17"/>
  <c r="G21" i="17" s="1"/>
  <c r="F21" i="17"/>
  <c r="H21" i="17"/>
  <c r="J21" i="17"/>
  <c r="L21" i="17" s="1"/>
  <c r="K21" i="17"/>
  <c r="M21" i="17" s="1"/>
  <c r="E22" i="17"/>
  <c r="F22" i="17"/>
  <c r="J22" i="17"/>
  <c r="L22" i="17" s="1"/>
  <c r="K22" i="17"/>
  <c r="M22" i="17" s="1"/>
  <c r="E23" i="17"/>
  <c r="F23" i="17"/>
  <c r="H23" i="17"/>
  <c r="J23" i="17"/>
  <c r="K23" i="17"/>
  <c r="L23" i="17" s="1"/>
  <c r="J24" i="17"/>
  <c r="E29" i="17"/>
  <c r="G29" i="17" s="1"/>
  <c r="F29" i="17"/>
  <c r="H29" i="17" s="1"/>
  <c r="J29" i="17"/>
  <c r="K29" i="17"/>
  <c r="L29" i="17"/>
  <c r="E30" i="17"/>
  <c r="G30" i="17" s="1"/>
  <c r="F30" i="17"/>
  <c r="H30" i="17" s="1"/>
  <c r="J30" i="17"/>
  <c r="K30" i="17"/>
  <c r="L30" i="17"/>
  <c r="M30" i="17"/>
  <c r="E31" i="17"/>
  <c r="F31" i="17"/>
  <c r="H31" i="17" s="1"/>
  <c r="J31" i="17"/>
  <c r="L31" i="17" s="1"/>
  <c r="K31" i="17"/>
  <c r="M31" i="17"/>
  <c r="E32" i="17"/>
  <c r="G32" i="17" s="1"/>
  <c r="H32" i="17" s="1"/>
  <c r="F32" i="17"/>
  <c r="J32" i="17"/>
  <c r="L32" i="17" s="1"/>
  <c r="K32" i="17"/>
  <c r="M32" i="17" s="1"/>
  <c r="E33" i="17"/>
  <c r="F33" i="17"/>
  <c r="H33" i="17" s="1"/>
  <c r="J33" i="17"/>
  <c r="L33" i="17" s="1"/>
  <c r="K33" i="17"/>
  <c r="M33" i="17" s="1"/>
  <c r="E34" i="17"/>
  <c r="F34" i="17"/>
  <c r="H34" i="17"/>
  <c r="J34" i="17"/>
  <c r="K34" i="17"/>
  <c r="J35" i="17"/>
  <c r="E38" i="17"/>
  <c r="G38" i="17" s="1"/>
  <c r="H38" i="17" s="1"/>
  <c r="F38" i="17"/>
  <c r="J38" i="17"/>
  <c r="K38" i="17"/>
  <c r="K41" i="17" s="1"/>
  <c r="E39" i="17"/>
  <c r="G39" i="17" s="1"/>
  <c r="F39" i="17"/>
  <c r="J39" i="17"/>
  <c r="K39" i="17"/>
  <c r="L39" i="17"/>
  <c r="E40" i="17"/>
  <c r="F40" i="17"/>
  <c r="J40" i="17"/>
  <c r="K40" i="17"/>
  <c r="L40" i="17"/>
  <c r="M40" i="17" s="1"/>
  <c r="E44" i="17"/>
  <c r="F44" i="17"/>
  <c r="J44" i="17"/>
  <c r="K44" i="17"/>
  <c r="E45" i="17"/>
  <c r="F45" i="17"/>
  <c r="F46" i="17" s="1"/>
  <c r="J45" i="17"/>
  <c r="K45" i="17"/>
  <c r="E51" i="17"/>
  <c r="F51" i="17"/>
  <c r="J51" i="17"/>
  <c r="J53" i="17" s="1"/>
  <c r="K51" i="17"/>
  <c r="L51" i="17"/>
  <c r="M51" i="17" s="1"/>
  <c r="E52" i="17"/>
  <c r="G52" i="17" s="1"/>
  <c r="H52" i="17" s="1"/>
  <c r="F52" i="17"/>
  <c r="J52" i="17"/>
  <c r="L52" i="17" s="1"/>
  <c r="K52" i="17"/>
  <c r="K53" i="17" s="1"/>
  <c r="M52" i="17"/>
  <c r="E53" i="17"/>
  <c r="F53" i="17"/>
  <c r="E56" i="17"/>
  <c r="F56" i="17"/>
  <c r="J56" i="17"/>
  <c r="K56" i="17"/>
  <c r="L56" i="17"/>
  <c r="M56" i="17" s="1"/>
  <c r="E57" i="17"/>
  <c r="F57" i="17"/>
  <c r="J57" i="17"/>
  <c r="L57" i="17" s="1"/>
  <c r="M57" i="17" s="1"/>
  <c r="K57" i="17"/>
  <c r="E58" i="17"/>
  <c r="F58" i="17"/>
  <c r="J58" i="17"/>
  <c r="K58" i="17"/>
  <c r="J59" i="17"/>
  <c r="E62" i="17"/>
  <c r="F62" i="17"/>
  <c r="J62" i="17"/>
  <c r="K62" i="17"/>
  <c r="E63" i="17"/>
  <c r="F63" i="17"/>
  <c r="J63" i="17"/>
  <c r="K63" i="17"/>
  <c r="E64" i="17"/>
  <c r="G64" i="17" s="1"/>
  <c r="H64" i="17" s="1"/>
  <c r="F64" i="17"/>
  <c r="J64" i="17"/>
  <c r="K64" i="17"/>
  <c r="E65" i="17"/>
  <c r="F65" i="17"/>
  <c r="J65" i="17"/>
  <c r="L65" i="17" s="1"/>
  <c r="K65" i="17"/>
  <c r="E69" i="17"/>
  <c r="F69" i="17"/>
  <c r="J69" i="17"/>
  <c r="L69" i="17" s="1"/>
  <c r="K69" i="17"/>
  <c r="E70" i="17"/>
  <c r="G70" i="17" s="1"/>
  <c r="F70" i="17"/>
  <c r="H70" i="17" s="1"/>
  <c r="J70" i="17"/>
  <c r="K70" i="17"/>
  <c r="E71" i="17"/>
  <c r="F71" i="17"/>
  <c r="J71" i="17"/>
  <c r="K71" i="17"/>
  <c r="E72" i="17"/>
  <c r="F72" i="17"/>
  <c r="J72" i="17"/>
  <c r="K72" i="17"/>
  <c r="E73" i="17"/>
  <c r="F73" i="17"/>
  <c r="J73" i="17"/>
  <c r="K73" i="17"/>
  <c r="E74" i="17"/>
  <c r="G74" i="17" s="1"/>
  <c r="F74" i="17"/>
  <c r="H74" i="17" s="1"/>
  <c r="J74" i="17"/>
  <c r="K74" i="17"/>
  <c r="E78" i="17"/>
  <c r="G78" i="17" s="1"/>
  <c r="F78" i="17"/>
  <c r="F80" i="17" s="1"/>
  <c r="H78" i="17"/>
  <c r="J78" i="17"/>
  <c r="K78" i="17"/>
  <c r="E79" i="17"/>
  <c r="F79" i="17"/>
  <c r="J79" i="17"/>
  <c r="L79" i="17" s="1"/>
  <c r="K79" i="17"/>
  <c r="E80" i="17"/>
  <c r="G80" i="17" s="1"/>
  <c r="J80" i="17"/>
  <c r="K80" i="17"/>
  <c r="E83" i="17"/>
  <c r="F83" i="17"/>
  <c r="J83" i="17"/>
  <c r="K83" i="17"/>
  <c r="E84" i="17"/>
  <c r="F84" i="17"/>
  <c r="J84" i="17"/>
  <c r="K84" i="17"/>
  <c r="E85" i="17"/>
  <c r="F85" i="17"/>
  <c r="J85" i="17"/>
  <c r="K85" i="17"/>
  <c r="E86" i="17"/>
  <c r="K86" i="17"/>
  <c r="E91" i="17"/>
  <c r="G91" i="17" s="1"/>
  <c r="F91" i="17"/>
  <c r="H91" i="17"/>
  <c r="J91" i="17"/>
  <c r="K91" i="17"/>
  <c r="C1" i="12"/>
  <c r="C3" i="12"/>
  <c r="E5" i="12"/>
  <c r="E10" i="12"/>
  <c r="G10" i="12" s="1"/>
  <c r="F10" i="12"/>
  <c r="H10" i="12"/>
  <c r="J10" i="12"/>
  <c r="L10" i="12" s="1"/>
  <c r="K10" i="12"/>
  <c r="M10" i="12"/>
  <c r="E11" i="12"/>
  <c r="G11" i="12" s="1"/>
  <c r="F11" i="12"/>
  <c r="H11" i="12"/>
  <c r="J11" i="12"/>
  <c r="K11" i="12"/>
  <c r="M11" i="12" s="1"/>
  <c r="L11" i="12"/>
  <c r="E12" i="12"/>
  <c r="F12" i="12"/>
  <c r="H12" i="12"/>
  <c r="J12" i="12"/>
  <c r="L12" i="12" s="1"/>
  <c r="K12" i="12"/>
  <c r="M12" i="12" s="1"/>
  <c r="E13" i="12"/>
  <c r="F13" i="12"/>
  <c r="J13" i="12"/>
  <c r="K13" i="12"/>
  <c r="L13" i="12" s="1"/>
  <c r="E14" i="12"/>
  <c r="G14" i="12" s="1"/>
  <c r="F14" i="12"/>
  <c r="H14" i="12"/>
  <c r="J14" i="12"/>
  <c r="K14" i="12"/>
  <c r="L14" i="12"/>
  <c r="M14" i="12" s="1"/>
  <c r="E15" i="12"/>
  <c r="F15" i="12"/>
  <c r="H15" i="12" s="1"/>
  <c r="J15" i="12"/>
  <c r="K15" i="12"/>
  <c r="M15" i="12"/>
  <c r="E16" i="12"/>
  <c r="G16" i="12" s="1"/>
  <c r="H16" i="12" s="1"/>
  <c r="F16" i="12"/>
  <c r="J16" i="12"/>
  <c r="L16" i="12" s="1"/>
  <c r="K16" i="12"/>
  <c r="F19" i="12"/>
  <c r="F21" i="12" s="1"/>
  <c r="J19" i="12"/>
  <c r="L19" i="12" s="1"/>
  <c r="M19" i="12" s="1"/>
  <c r="K19" i="12"/>
  <c r="E20" i="12"/>
  <c r="F20" i="12"/>
  <c r="H20" i="12"/>
  <c r="J20" i="12"/>
  <c r="J21" i="12" s="1"/>
  <c r="K20" i="12"/>
  <c r="K21" i="12" s="1"/>
  <c r="E23" i="12"/>
  <c r="F23" i="12"/>
  <c r="J23" i="12"/>
  <c r="K23" i="12"/>
  <c r="L23" i="12" s="1"/>
  <c r="E24" i="12"/>
  <c r="G24" i="12" s="1"/>
  <c r="F24" i="12"/>
  <c r="H24" i="12"/>
  <c r="J24" i="12"/>
  <c r="K24" i="12"/>
  <c r="L24" i="12"/>
  <c r="M24" i="12"/>
  <c r="E25" i="12"/>
  <c r="F25" i="12"/>
  <c r="H25" i="12" s="1"/>
  <c r="J25" i="12"/>
  <c r="K25" i="12"/>
  <c r="M25" i="12"/>
  <c r="E26" i="12"/>
  <c r="F26" i="12"/>
  <c r="J26" i="12"/>
  <c r="K26" i="12"/>
  <c r="E30" i="12"/>
  <c r="F30" i="12"/>
  <c r="G30" i="12"/>
  <c r="H30" i="12"/>
  <c r="J30" i="12"/>
  <c r="L30" i="12" s="1"/>
  <c r="K30" i="12"/>
  <c r="M30" i="12"/>
  <c r="E31" i="12"/>
  <c r="F31" i="12"/>
  <c r="G31" i="12" s="1"/>
  <c r="H31" i="12" s="1"/>
  <c r="J31" i="12"/>
  <c r="L31" i="12" s="1"/>
  <c r="M31" i="12" s="1"/>
  <c r="K31" i="12"/>
  <c r="E32" i="12"/>
  <c r="G32" i="12" s="1"/>
  <c r="F32" i="12"/>
  <c r="H32" i="12" s="1"/>
  <c r="J32" i="12"/>
  <c r="L32" i="12" s="1"/>
  <c r="K32" i="12"/>
  <c r="M32" i="12"/>
  <c r="E33" i="12"/>
  <c r="G33" i="12" s="1"/>
  <c r="F33" i="12"/>
  <c r="H33" i="12" s="1"/>
  <c r="J33" i="12"/>
  <c r="L33" i="12" s="1"/>
  <c r="K33" i="12"/>
  <c r="M33" i="12"/>
  <c r="E34" i="12"/>
  <c r="F34" i="12"/>
  <c r="J34" i="12"/>
  <c r="J37" i="12" s="1"/>
  <c r="K34" i="12"/>
  <c r="E35" i="12"/>
  <c r="E37" i="12" s="1"/>
  <c r="G37" i="12" s="1"/>
  <c r="H37" i="12" s="1"/>
  <c r="F35" i="12"/>
  <c r="J35" i="12"/>
  <c r="K35" i="12"/>
  <c r="F37" i="12"/>
  <c r="E39" i="12"/>
  <c r="F39" i="12"/>
  <c r="F42" i="12" s="1"/>
  <c r="J39" i="12"/>
  <c r="K39" i="12"/>
  <c r="E40" i="12"/>
  <c r="F40" i="12"/>
  <c r="J40" i="12"/>
  <c r="K40" i="12"/>
  <c r="E41" i="12"/>
  <c r="F41" i="12"/>
  <c r="J41" i="12"/>
  <c r="L41" i="12" s="1"/>
  <c r="K41" i="12"/>
  <c r="E45" i="12"/>
  <c r="F45" i="12"/>
  <c r="J45" i="12"/>
  <c r="L45" i="12" s="1"/>
  <c r="K45" i="12"/>
  <c r="E46" i="12"/>
  <c r="G46" i="12" s="1"/>
  <c r="H46" i="12" s="1"/>
  <c r="F46" i="12"/>
  <c r="J46" i="12"/>
  <c r="K46" i="12"/>
  <c r="E47" i="12"/>
  <c r="F47" i="12"/>
  <c r="J47" i="12"/>
  <c r="L47" i="12" s="1"/>
  <c r="K47" i="12"/>
  <c r="A1" i="4"/>
  <c r="A3" i="4"/>
  <c r="N18" i="8"/>
  <c r="N19" i="8"/>
  <c r="N20" i="8"/>
  <c r="N21" i="8"/>
  <c r="N17" i="8"/>
  <c r="N16" i="8"/>
  <c r="N14" i="8"/>
  <c r="N23" i="8"/>
  <c r="N24" i="8"/>
  <c r="N26" i="8"/>
  <c r="N27" i="8"/>
  <c r="N29" i="8"/>
  <c r="N30" i="8"/>
  <c r="N32" i="8"/>
  <c r="N33" i="8"/>
  <c r="N35" i="8"/>
  <c r="N36" i="8"/>
  <c r="F41" i="4"/>
  <c r="G41" i="4"/>
  <c r="D42" i="4"/>
  <c r="C1" i="5"/>
  <c r="C3" i="5"/>
  <c r="D44" i="5"/>
  <c r="H44" i="5" s="1"/>
  <c r="D34" i="5"/>
  <c r="D37" i="5"/>
  <c r="D39" i="5"/>
  <c r="H39" i="5" s="1"/>
  <c r="I39" i="5" s="1"/>
  <c r="D18" i="5"/>
  <c r="F44" i="5"/>
  <c r="F34" i="5"/>
  <c r="F37" i="5"/>
  <c r="F39" i="5"/>
  <c r="F18" i="5"/>
  <c r="H14" i="5"/>
  <c r="I14" i="5" s="1"/>
  <c r="W14" i="5"/>
  <c r="X14" i="5" s="1"/>
  <c r="Z14" i="5"/>
  <c r="Z42" i="5"/>
  <c r="Z43" i="5"/>
  <c r="AD43" i="5" s="1"/>
  <c r="AE43" i="5" s="1"/>
  <c r="Z32" i="5"/>
  <c r="Z33" i="5"/>
  <c r="AD33" i="5" s="1"/>
  <c r="Z34" i="5"/>
  <c r="Z35" i="5"/>
  <c r="Z36" i="5"/>
  <c r="Z37" i="5" s="1"/>
  <c r="Z38" i="5"/>
  <c r="Z16" i="5"/>
  <c r="Z17" i="5"/>
  <c r="Z19" i="5"/>
  <c r="Z20" i="5"/>
  <c r="Z21" i="5"/>
  <c r="AD21" i="5" s="1"/>
  <c r="Z22" i="5"/>
  <c r="Z24" i="5"/>
  <c r="Z25" i="5"/>
  <c r="Z26" i="5"/>
  <c r="Z27" i="5"/>
  <c r="Z28" i="5"/>
  <c r="Z29" i="5"/>
  <c r="AB34" i="5"/>
  <c r="H16" i="5"/>
  <c r="I16" i="5"/>
  <c r="W16" i="5"/>
  <c r="X16" i="5"/>
  <c r="H17" i="5"/>
  <c r="I17" i="5"/>
  <c r="W17" i="5"/>
  <c r="X17" i="5"/>
  <c r="W18" i="5"/>
  <c r="X18" i="5"/>
  <c r="H19" i="5"/>
  <c r="I19" i="5"/>
  <c r="W19" i="5"/>
  <c r="X19" i="5"/>
  <c r="H20" i="5"/>
  <c r="I20" i="5"/>
  <c r="W20" i="5"/>
  <c r="X20" i="5"/>
  <c r="AD20" i="5"/>
  <c r="AE20" i="5" s="1"/>
  <c r="H21" i="5"/>
  <c r="I21" i="5"/>
  <c r="W21" i="5"/>
  <c r="X21" i="5"/>
  <c r="AE21" i="5"/>
  <c r="H22" i="5"/>
  <c r="I22" i="5"/>
  <c r="AD22" i="5"/>
  <c r="AE22" i="5"/>
  <c r="H24" i="5"/>
  <c r="I24" i="5"/>
  <c r="W24" i="5"/>
  <c r="X24" i="5" s="1"/>
  <c r="AD24" i="5"/>
  <c r="AE24" i="5"/>
  <c r="H25" i="5"/>
  <c r="I25" i="5" s="1"/>
  <c r="W25" i="5"/>
  <c r="X25" i="5"/>
  <c r="AD25" i="5"/>
  <c r="AE25" i="5"/>
  <c r="W26" i="5"/>
  <c r="X26" i="5"/>
  <c r="H27" i="5"/>
  <c r="I27" i="5" s="1"/>
  <c r="W27" i="5"/>
  <c r="X27" i="5" s="1"/>
  <c r="H28" i="5"/>
  <c r="I28" i="5"/>
  <c r="W28" i="5"/>
  <c r="X28" i="5" s="1"/>
  <c r="H29" i="5"/>
  <c r="I29" i="5"/>
  <c r="W29" i="5"/>
  <c r="X29" i="5" s="1"/>
  <c r="AD29" i="5"/>
  <c r="AE29" i="5"/>
  <c r="H32" i="5"/>
  <c r="I32" i="5"/>
  <c r="W32" i="5"/>
  <c r="X32" i="5" s="1"/>
  <c r="AD32" i="5"/>
  <c r="AE32" i="5" s="1"/>
  <c r="H33" i="5"/>
  <c r="I33" i="5"/>
  <c r="AE33" i="5"/>
  <c r="H34" i="5"/>
  <c r="I34" i="5" s="1"/>
  <c r="H35" i="5"/>
  <c r="I35" i="5" s="1"/>
  <c r="W35" i="5"/>
  <c r="X35" i="5" s="1"/>
  <c r="H36" i="5"/>
  <c r="I36" i="5" s="1"/>
  <c r="W36" i="5"/>
  <c r="X36" i="5" s="1"/>
  <c r="H37" i="5"/>
  <c r="I37" i="5" s="1"/>
  <c r="W37" i="5"/>
  <c r="H38" i="5"/>
  <c r="I38" i="5"/>
  <c r="W38" i="5"/>
  <c r="X38" i="5"/>
  <c r="H42" i="5"/>
  <c r="I42" i="5"/>
  <c r="W42" i="5"/>
  <c r="X42" i="5"/>
  <c r="H43" i="5"/>
  <c r="I43" i="5"/>
  <c r="W43" i="5"/>
  <c r="X43" i="5" s="1"/>
  <c r="I44" i="5"/>
  <c r="W44" i="5"/>
  <c r="X44" i="5" s="1"/>
  <c r="H47" i="5"/>
  <c r="I47" i="5" s="1"/>
  <c r="S47" i="5"/>
  <c r="S49" i="5"/>
  <c r="S50" i="5"/>
  <c r="S51" i="5"/>
  <c r="S52" i="5"/>
  <c r="S53" i="5"/>
  <c r="S55" i="5"/>
  <c r="W47" i="5"/>
  <c r="X47" i="5" s="1"/>
  <c r="Z47" i="5"/>
  <c r="Z49" i="5"/>
  <c r="Z50" i="5"/>
  <c r="Z51" i="5"/>
  <c r="Z52" i="5"/>
  <c r="Z53" i="5"/>
  <c r="Z55" i="5"/>
  <c r="AD47" i="5"/>
  <c r="AE47" i="5"/>
  <c r="H49" i="5"/>
  <c r="I49" i="5" s="1"/>
  <c r="W49" i="5"/>
  <c r="X49" i="5"/>
  <c r="AD49" i="5"/>
  <c r="AE49" i="5" s="1"/>
  <c r="H50" i="5"/>
  <c r="I50" i="5" s="1"/>
  <c r="H51" i="5"/>
  <c r="I51" i="5"/>
  <c r="W51" i="5"/>
  <c r="X51" i="5" s="1"/>
  <c r="H52" i="5"/>
  <c r="I52" i="5"/>
  <c r="W52" i="5"/>
  <c r="X52" i="5" s="1"/>
  <c r="AD52" i="5"/>
  <c r="AE52" i="5"/>
  <c r="H53" i="5"/>
  <c r="I53" i="5"/>
  <c r="W53" i="5"/>
  <c r="X53" i="5"/>
  <c r="AD53" i="5"/>
  <c r="AE53" i="5" s="1"/>
  <c r="H55" i="5"/>
  <c r="I55" i="5" s="1"/>
  <c r="W55" i="5"/>
  <c r="X55" i="5" s="1"/>
  <c r="P16" i="8"/>
  <c r="Q16" i="8" s="1"/>
  <c r="I18" i="8"/>
  <c r="J18" i="8"/>
  <c r="P18" i="8"/>
  <c r="Q18" i="8"/>
  <c r="I19" i="8"/>
  <c r="J19" i="8"/>
  <c r="I20" i="8"/>
  <c r="J20" i="8"/>
  <c r="I23" i="8"/>
  <c r="J23" i="8"/>
  <c r="P23" i="8"/>
  <c r="Q23" i="8"/>
  <c r="I24" i="8"/>
  <c r="J24" i="8"/>
  <c r="P24" i="8"/>
  <c r="Q24" i="8"/>
  <c r="G26" i="8"/>
  <c r="G27" i="8"/>
  <c r="P27" i="8"/>
  <c r="Q27" i="8" s="1"/>
  <c r="G29" i="8"/>
  <c r="I29" i="8"/>
  <c r="J29" i="8"/>
  <c r="P29" i="8"/>
  <c r="Q29" i="8"/>
  <c r="G30" i="8"/>
  <c r="P30" i="8"/>
  <c r="Q30" i="8"/>
  <c r="G32" i="8"/>
  <c r="P32" i="8"/>
  <c r="Q32" i="8" s="1"/>
  <c r="G33" i="8"/>
  <c r="I33" i="8" s="1"/>
  <c r="P33" i="8"/>
  <c r="Q33" i="8"/>
  <c r="G35" i="8"/>
  <c r="I35" i="8"/>
  <c r="J35" i="8" s="1"/>
  <c r="P35" i="8"/>
  <c r="Q35" i="8"/>
  <c r="G36" i="8"/>
  <c r="J36" i="8"/>
  <c r="Q36" i="8"/>
  <c r="E40" i="8"/>
  <c r="L40" i="8"/>
  <c r="G45" i="8"/>
  <c r="O45" i="8"/>
  <c r="G46" i="8"/>
  <c r="O46" i="8"/>
  <c r="G47" i="8"/>
  <c r="H47" i="8" s="1"/>
  <c r="G48" i="8"/>
  <c r="O48" i="8"/>
  <c r="P48" i="8"/>
  <c r="Q48" i="8"/>
  <c r="G50" i="8"/>
  <c r="I50" i="8"/>
  <c r="O50" i="8"/>
  <c r="P50" i="8"/>
  <c r="Q50" i="8" s="1"/>
  <c r="G55" i="8"/>
  <c r="O55" i="8"/>
  <c r="P55" i="8"/>
  <c r="Q55" i="8" s="1"/>
  <c r="G59" i="8"/>
  <c r="I59" i="8"/>
  <c r="O59" i="8"/>
  <c r="P59" i="8"/>
  <c r="Q59" i="8"/>
  <c r="G61" i="8"/>
  <c r="I61" i="8" s="1"/>
  <c r="O61" i="8"/>
  <c r="P61" i="8"/>
  <c r="Q61" i="8"/>
  <c r="G64" i="8"/>
  <c r="I64" i="8"/>
  <c r="J64" i="8" s="1"/>
  <c r="O64" i="8"/>
  <c r="P64" i="8"/>
  <c r="Q64" i="8" s="1"/>
  <c r="G65" i="8"/>
  <c r="H65" i="8"/>
  <c r="I65" i="8"/>
  <c r="J65" i="8" s="1"/>
  <c r="O65" i="8"/>
  <c r="P65" i="8"/>
  <c r="Q65" i="8" s="1"/>
  <c r="G68" i="8"/>
  <c r="O68" i="8"/>
  <c r="N77" i="8"/>
  <c r="G78" i="8"/>
  <c r="N78" i="8"/>
  <c r="O78" i="8"/>
  <c r="G80" i="8"/>
  <c r="I80" i="8" s="1"/>
  <c r="L80" i="8"/>
  <c r="N80" i="8"/>
  <c r="O80" i="8"/>
  <c r="G81" i="8"/>
  <c r="G82" i="8"/>
  <c r="I82" i="8"/>
  <c r="J82" i="8" s="1"/>
  <c r="L82" i="8"/>
  <c r="N82" i="8"/>
  <c r="O82" i="8"/>
  <c r="G83" i="8"/>
  <c r="G84" i="8"/>
  <c r="G85" i="8"/>
  <c r="G87" i="8"/>
  <c r="I87" i="8"/>
  <c r="J87" i="8" s="1"/>
  <c r="L87" i="8"/>
  <c r="N87" i="8"/>
  <c r="O87" i="8"/>
  <c r="G88" i="8"/>
  <c r="L88" i="8"/>
  <c r="L90" i="8"/>
  <c r="G91" i="8"/>
  <c r="L91" i="8"/>
  <c r="N91" i="8"/>
  <c r="O91" i="8" s="1"/>
  <c r="G93" i="8"/>
  <c r="L93" i="8"/>
  <c r="P93" i="8" s="1"/>
  <c r="Q93" i="8" s="1"/>
  <c r="N93" i="8"/>
  <c r="O93" i="8" s="1"/>
  <c r="G94" i="8"/>
  <c r="I94" i="8"/>
  <c r="J94" i="8"/>
  <c r="L94" i="8"/>
  <c r="G96" i="8"/>
  <c r="I96" i="8"/>
  <c r="J96" i="8" s="1"/>
  <c r="L96" i="8"/>
  <c r="N96" i="8"/>
  <c r="O96" i="8"/>
  <c r="P96" i="8"/>
  <c r="Q96" i="8" s="1"/>
  <c r="G97" i="8"/>
  <c r="L97" i="8"/>
  <c r="N97" i="8"/>
  <c r="O97" i="8" s="1"/>
  <c r="P97" i="8"/>
  <c r="Q97" i="8" s="1"/>
  <c r="G99" i="8"/>
  <c r="I99" i="8" s="1"/>
  <c r="L99" i="8"/>
  <c r="G100" i="8"/>
  <c r="J100" i="8"/>
  <c r="N100" i="8"/>
  <c r="O100" i="8"/>
  <c r="X33" i="5" l="1"/>
  <c r="W33" i="5"/>
  <c r="J15" i="4"/>
  <c r="U56" i="5"/>
  <c r="U57" i="5" s="1"/>
  <c r="V56" i="5" s="1"/>
  <c r="U30" i="5"/>
  <c r="J21" i="4"/>
  <c r="E21" i="4" s="1"/>
  <c r="E40" i="4"/>
  <c r="X22" i="5"/>
  <c r="W22" i="5"/>
  <c r="D15" i="4"/>
  <c r="U34" i="5"/>
  <c r="E20" i="4"/>
  <c r="F20" i="4" s="1"/>
  <c r="E34" i="4"/>
  <c r="C2" i="8"/>
  <c r="A2" i="4" s="1"/>
  <c r="J5" i="12"/>
  <c r="D9" i="5"/>
  <c r="L8" i="8"/>
  <c r="C2" i="12"/>
  <c r="E8" i="8"/>
  <c r="C2" i="5"/>
  <c r="C24" i="13"/>
  <c r="D8" i="4"/>
  <c r="J80" i="8"/>
  <c r="I93" i="8"/>
  <c r="J93" i="8" s="1"/>
  <c r="I88" i="8"/>
  <c r="J88" i="8" s="1"/>
  <c r="P82" i="8"/>
  <c r="Q82" i="8" s="1"/>
  <c r="J59" i="8"/>
  <c r="I27" i="8"/>
  <c r="J27" i="8"/>
  <c r="P80" i="8"/>
  <c r="Q80" i="8" s="1"/>
  <c r="H68" i="8"/>
  <c r="H45" i="8"/>
  <c r="H46" i="8"/>
  <c r="H48" i="8"/>
  <c r="H64" i="8"/>
  <c r="P26" i="8"/>
  <c r="Q26" i="8" s="1"/>
  <c r="G90" i="8"/>
  <c r="H61" i="8"/>
  <c r="J61" i="8"/>
  <c r="F48" i="12"/>
  <c r="J99" i="8"/>
  <c r="I91" i="8"/>
  <c r="J91" i="8" s="1"/>
  <c r="W50" i="5"/>
  <c r="X50" i="5" s="1"/>
  <c r="G40" i="12"/>
  <c r="H40" i="12" s="1"/>
  <c r="E42" i="12"/>
  <c r="H47" i="12"/>
  <c r="P87" i="8"/>
  <c r="Q87" i="8" s="1"/>
  <c r="I30" i="8"/>
  <c r="J30" i="8" s="1"/>
  <c r="I18" i="5"/>
  <c r="K48" i="12"/>
  <c r="Z18" i="5"/>
  <c r="L34" i="17"/>
  <c r="M34" i="17"/>
  <c r="H55" i="8"/>
  <c r="I55" i="8"/>
  <c r="J55" i="8" s="1"/>
  <c r="F50" i="12"/>
  <c r="K37" i="12"/>
  <c r="P91" i="8"/>
  <c r="Q91" i="8" s="1"/>
  <c r="H50" i="8"/>
  <c r="H18" i="5"/>
  <c r="I97" i="8"/>
  <c r="J97" i="8" s="1"/>
  <c r="H59" i="8"/>
  <c r="H27" i="8"/>
  <c r="Z39" i="5"/>
  <c r="AD34" i="5"/>
  <c r="F27" i="12"/>
  <c r="F86" i="17"/>
  <c r="O19" i="5"/>
  <c r="K37" i="5"/>
  <c r="O35" i="5"/>
  <c r="N51" i="8"/>
  <c r="P20" i="22"/>
  <c r="G51" i="8" s="1"/>
  <c r="I26" i="8"/>
  <c r="J26" i="8" s="1"/>
  <c r="AD36" i="5"/>
  <c r="AE36" i="5" s="1"/>
  <c r="J48" i="12"/>
  <c r="L48" i="12" s="1"/>
  <c r="G47" i="12"/>
  <c r="M41" i="12"/>
  <c r="F30" i="5"/>
  <c r="L46" i="12"/>
  <c r="M46" i="12" s="1"/>
  <c r="G45" i="12"/>
  <c r="H45" i="12" s="1"/>
  <c r="M39" i="12"/>
  <c r="L34" i="12"/>
  <c r="M34" i="12" s="1"/>
  <c r="L15" i="12"/>
  <c r="J17" i="12"/>
  <c r="L71" i="17"/>
  <c r="J75" i="17"/>
  <c r="G58" i="17"/>
  <c r="H58" i="17" s="1"/>
  <c r="E59" i="17"/>
  <c r="J33" i="8"/>
  <c r="Z44" i="5"/>
  <c r="E48" i="12"/>
  <c r="G48" i="12" s="1"/>
  <c r="K42" i="12"/>
  <c r="L39" i="12"/>
  <c r="H34" i="12"/>
  <c r="L25" i="12"/>
  <c r="J27" i="12"/>
  <c r="L27" i="12" s="1"/>
  <c r="L21" i="12"/>
  <c r="M21" i="12" s="1"/>
  <c r="G12" i="12"/>
  <c r="E17" i="12"/>
  <c r="H80" i="17"/>
  <c r="H71" i="17"/>
  <c r="F75" i="17"/>
  <c r="J50" i="8"/>
  <c r="J32" i="8"/>
  <c r="AD14" i="5"/>
  <c r="AE14" i="5" s="1"/>
  <c r="M47" i="12"/>
  <c r="J42" i="12"/>
  <c r="G41" i="12"/>
  <c r="H41" i="12" s="1"/>
  <c r="H39" i="12"/>
  <c r="G34" i="12"/>
  <c r="M16" i="12"/>
  <c r="F66" i="17"/>
  <c r="M41" i="17"/>
  <c r="I32" i="8"/>
  <c r="H13" i="12"/>
  <c r="F17" i="12"/>
  <c r="K75" i="17"/>
  <c r="K89" i="17" s="1"/>
  <c r="K93" i="17" s="1"/>
  <c r="L53" i="17"/>
  <c r="M53" i="17" s="1"/>
  <c r="AD50" i="5"/>
  <c r="AE50" i="5" s="1"/>
  <c r="M45" i="12"/>
  <c r="L40" i="12"/>
  <c r="M40" i="12" s="1"/>
  <c r="G39" i="12"/>
  <c r="L26" i="12"/>
  <c r="M26" i="12" s="1"/>
  <c r="L83" i="17"/>
  <c r="J86" i="17"/>
  <c r="H79" i="17"/>
  <c r="K27" i="12"/>
  <c r="G23" i="12"/>
  <c r="H23" i="12" s="1"/>
  <c r="M20" i="12"/>
  <c r="K17" i="12"/>
  <c r="G13" i="12"/>
  <c r="G85" i="17"/>
  <c r="H85" i="17" s="1"/>
  <c r="M79" i="17"/>
  <c r="L74" i="17"/>
  <c r="M74" i="17" s="1"/>
  <c r="G73" i="17"/>
  <c r="H73" i="17" s="1"/>
  <c r="M69" i="17"/>
  <c r="L64" i="17"/>
  <c r="M64" i="17" s="1"/>
  <c r="G63" i="17"/>
  <c r="H63" i="17" s="1"/>
  <c r="G53" i="17"/>
  <c r="H53" i="17" s="1"/>
  <c r="M29" i="17"/>
  <c r="K19" i="16"/>
  <c r="L20" i="12"/>
  <c r="M84" i="17"/>
  <c r="E66" i="17"/>
  <c r="F59" i="17"/>
  <c r="M45" i="17"/>
  <c r="G44" i="17"/>
  <c r="H44" i="17" s="1"/>
  <c r="E46" i="17"/>
  <c r="G46" i="17" s="1"/>
  <c r="H46" i="17" s="1"/>
  <c r="H40" i="17"/>
  <c r="M14" i="17"/>
  <c r="M21" i="16"/>
  <c r="K24" i="16"/>
  <c r="L17" i="16"/>
  <c r="M17" i="16" s="1"/>
  <c r="G25" i="12"/>
  <c r="M23" i="12"/>
  <c r="G15" i="12"/>
  <c r="M13" i="12"/>
  <c r="L84" i="17"/>
  <c r="G83" i="17"/>
  <c r="H83" i="17" s="1"/>
  <c r="L72" i="17"/>
  <c r="M72" i="17" s="1"/>
  <c r="G71" i="17"/>
  <c r="H69" i="17"/>
  <c r="M65" i="17"/>
  <c r="L62" i="17"/>
  <c r="M62" i="17" s="1"/>
  <c r="L45" i="17"/>
  <c r="G40" i="17"/>
  <c r="L38" i="17"/>
  <c r="M38" i="17" s="1"/>
  <c r="L21" i="16"/>
  <c r="G26" i="12"/>
  <c r="H26" i="12" s="1"/>
  <c r="M80" i="17"/>
  <c r="M70" i="17"/>
  <c r="H45" i="17"/>
  <c r="K24" i="17"/>
  <c r="M17" i="17"/>
  <c r="S45" i="5"/>
  <c r="E52" i="8"/>
  <c r="E27" i="12"/>
  <c r="G27" i="12" s="1"/>
  <c r="L80" i="17"/>
  <c r="G79" i="17"/>
  <c r="L70" i="17"/>
  <c r="G69" i="17"/>
  <c r="L58" i="17"/>
  <c r="M58" i="17" s="1"/>
  <c r="G56" i="17"/>
  <c r="G59" i="17" s="1"/>
  <c r="G45" i="17"/>
  <c r="F41" i="17"/>
  <c r="M39" i="17"/>
  <c r="L17" i="17"/>
  <c r="G11" i="17"/>
  <c r="H11" i="17" s="1"/>
  <c r="E14" i="17"/>
  <c r="L85" i="17"/>
  <c r="M85" i="17" s="1"/>
  <c r="G84" i="17"/>
  <c r="H84" i="17" s="1"/>
  <c r="L73" i="17"/>
  <c r="M73" i="17" s="1"/>
  <c r="G72" i="17"/>
  <c r="H72" i="17" s="1"/>
  <c r="K66" i="17"/>
  <c r="L63" i="17"/>
  <c r="M63" i="17" s="1"/>
  <c r="G62" i="17"/>
  <c r="H62" i="17" s="1"/>
  <c r="M44" i="17"/>
  <c r="L24" i="17"/>
  <c r="J26" i="17"/>
  <c r="H22" i="17"/>
  <c r="M12" i="17"/>
  <c r="G20" i="12"/>
  <c r="L91" i="17"/>
  <c r="M91" i="17" s="1"/>
  <c r="M83" i="17"/>
  <c r="L78" i="17"/>
  <c r="M78" i="17" s="1"/>
  <c r="E75" i="17"/>
  <c r="M71" i="17"/>
  <c r="J66" i="17"/>
  <c r="G65" i="17"/>
  <c r="H65" i="17" s="1"/>
  <c r="K59" i="17"/>
  <c r="L59" i="17" s="1"/>
  <c r="K46" i="17"/>
  <c r="J46" i="17"/>
  <c r="L46" i="17" s="1"/>
  <c r="L44" i="17"/>
  <c r="H39" i="17"/>
  <c r="H20" i="17"/>
  <c r="M13" i="16"/>
  <c r="L13" i="16"/>
  <c r="K16" i="16"/>
  <c r="G33" i="17"/>
  <c r="G22" i="17"/>
  <c r="G12" i="17"/>
  <c r="H12" i="17" s="1"/>
  <c r="J5" i="16"/>
  <c r="C2" i="16"/>
  <c r="M19" i="5"/>
  <c r="AB19" i="5"/>
  <c r="AB42" i="5"/>
  <c r="M42" i="5"/>
  <c r="N67" i="8"/>
  <c r="P107" i="22"/>
  <c r="G67" i="8" s="1"/>
  <c r="F35" i="17"/>
  <c r="G34" i="17"/>
  <c r="F24" i="17"/>
  <c r="G23" i="17"/>
  <c r="F14" i="17"/>
  <c r="G13" i="17"/>
  <c r="H13" i="17" s="1"/>
  <c r="M11" i="17"/>
  <c r="M22" i="16"/>
  <c r="G20" i="16"/>
  <c r="H20" i="16" s="1"/>
  <c r="M18" i="16"/>
  <c r="E16" i="16"/>
  <c r="G16" i="16" s="1"/>
  <c r="H16" i="16" s="1"/>
  <c r="M14" i="16"/>
  <c r="G12" i="16"/>
  <c r="H12" i="16" s="1"/>
  <c r="M10" i="16"/>
  <c r="K145" i="22"/>
  <c r="G17" i="8"/>
  <c r="E145" i="18"/>
  <c r="J145" i="19"/>
  <c r="R69" i="18"/>
  <c r="P69" i="18"/>
  <c r="G51" i="17"/>
  <c r="H51" i="17" s="1"/>
  <c r="E35" i="17"/>
  <c r="G35" i="17" s="1"/>
  <c r="E24" i="17"/>
  <c r="C2" i="17"/>
  <c r="L15" i="16"/>
  <c r="J41" i="17"/>
  <c r="L41" i="17" s="1"/>
  <c r="M23" i="17"/>
  <c r="M13" i="17"/>
  <c r="H18" i="16"/>
  <c r="M15" i="16"/>
  <c r="M11" i="16"/>
  <c r="I145" i="22"/>
  <c r="F145" i="18"/>
  <c r="L36" i="8"/>
  <c r="P105" i="18"/>
  <c r="J19" i="16"/>
  <c r="L19" i="16" s="1"/>
  <c r="E22" i="4"/>
  <c r="D22" i="4"/>
  <c r="F22" i="4" s="1"/>
  <c r="P88" i="18"/>
  <c r="R88" i="18" s="1"/>
  <c r="E16" i="8"/>
  <c r="R95" i="18"/>
  <c r="M20" i="16"/>
  <c r="M12" i="16"/>
  <c r="P33" i="5"/>
  <c r="G57" i="17"/>
  <c r="H57" i="17" s="1"/>
  <c r="E41" i="17"/>
  <c r="G41" i="17" s="1"/>
  <c r="K35" i="17"/>
  <c r="G31" i="17"/>
  <c r="G20" i="17"/>
  <c r="G10" i="17"/>
  <c r="H10" i="17" s="1"/>
  <c r="J24" i="16"/>
  <c r="L24" i="16" s="1"/>
  <c r="E5" i="16"/>
  <c r="N145" i="22"/>
  <c r="F145" i="22"/>
  <c r="N145" i="18"/>
  <c r="S30" i="5"/>
  <c r="E28" i="4"/>
  <c r="H35" i="4"/>
  <c r="D35" i="4" s="1"/>
  <c r="O14" i="5"/>
  <c r="O49" i="5"/>
  <c r="P49" i="5" s="1"/>
  <c r="M34" i="5"/>
  <c r="P32" i="5"/>
  <c r="AB51" i="5"/>
  <c r="AD51" i="5" s="1"/>
  <c r="M51" i="5"/>
  <c r="N56" i="8"/>
  <c r="P11" i="22"/>
  <c r="G56" i="8" s="1"/>
  <c r="P33" i="22"/>
  <c r="G52" i="8" s="1"/>
  <c r="N52" i="8"/>
  <c r="E29" i="4"/>
  <c r="O33" i="5"/>
  <c r="M26" i="5"/>
  <c r="AB26" i="5"/>
  <c r="N58" i="8"/>
  <c r="P79" i="22"/>
  <c r="G58" i="8" s="1"/>
  <c r="P81" i="22"/>
  <c r="G53" i="8" s="1"/>
  <c r="N53" i="8"/>
  <c r="E17" i="4"/>
  <c r="K18" i="5"/>
  <c r="K34" i="5"/>
  <c r="O24" i="5"/>
  <c r="P24" i="5" s="1"/>
  <c r="L20" i="8"/>
  <c r="AB27" i="5"/>
  <c r="M27" i="5"/>
  <c r="N47" i="8"/>
  <c r="H24" i="4"/>
  <c r="D24" i="4" s="1"/>
  <c r="F24" i="4" s="1"/>
  <c r="G24" i="4" s="1"/>
  <c r="I15" i="4"/>
  <c r="O53" i="5"/>
  <c r="P53" i="5" s="1"/>
  <c r="L21" i="8"/>
  <c r="P99" i="18"/>
  <c r="L19" i="8"/>
  <c r="P21" i="5"/>
  <c r="AB35" i="5"/>
  <c r="M35" i="5"/>
  <c r="O21" i="5"/>
  <c r="O52" i="5"/>
  <c r="P4" i="19"/>
  <c r="G13" i="8" s="1"/>
  <c r="N13" i="8"/>
  <c r="M16" i="5"/>
  <c r="AB16" i="5"/>
  <c r="M28" i="5"/>
  <c r="AB28" i="5"/>
  <c r="AB55" i="5"/>
  <c r="M55" i="5"/>
  <c r="N62" i="8"/>
  <c r="P77" i="22"/>
  <c r="G62" i="8" s="1"/>
  <c r="H21" i="4"/>
  <c r="K44" i="5"/>
  <c r="O42" i="5"/>
  <c r="O51" i="5"/>
  <c r="M43" i="5"/>
  <c r="O43" i="5" s="1"/>
  <c r="P14" i="5"/>
  <c r="L14" i="8"/>
  <c r="L17" i="8"/>
  <c r="AB17" i="5"/>
  <c r="M17" i="5"/>
  <c r="I35" i="4"/>
  <c r="E35" i="4" s="1"/>
  <c r="E16" i="4"/>
  <c r="D16" i="4"/>
  <c r="F16" i="4" s="1"/>
  <c r="D33" i="4"/>
  <c r="D36" i="4"/>
  <c r="F36" i="4" s="1"/>
  <c r="G36" i="4" s="1"/>
  <c r="K26" i="5"/>
  <c r="K30" i="5" s="1"/>
  <c r="D26" i="5"/>
  <c r="D30" i="5" s="1"/>
  <c r="L13" i="8"/>
  <c r="P4" i="18"/>
  <c r="AB38" i="5"/>
  <c r="M38" i="5"/>
  <c r="O38" i="5" s="1"/>
  <c r="D17" i="4"/>
  <c r="F17" i="4" s="1"/>
  <c r="G21" i="4" l="1"/>
  <c r="W34" i="5"/>
  <c r="U39" i="5"/>
  <c r="D21" i="4"/>
  <c r="F21" i="4" s="1"/>
  <c r="G20" i="4"/>
  <c r="G34" i="4"/>
  <c r="F34" i="4"/>
  <c r="E42" i="4"/>
  <c r="F40" i="4"/>
  <c r="G40" i="4" s="1"/>
  <c r="E37" i="4"/>
  <c r="H30" i="5"/>
  <c r="E30" i="5"/>
  <c r="D45" i="5"/>
  <c r="I62" i="8"/>
  <c r="J62" i="8"/>
  <c r="H62" i="8"/>
  <c r="L49" i="8"/>
  <c r="M17" i="8"/>
  <c r="P17" i="8"/>
  <c r="Q17" i="8" s="1"/>
  <c r="N94" i="8"/>
  <c r="P62" i="8"/>
  <c r="Q62" i="8" s="1"/>
  <c r="O62" i="8"/>
  <c r="G15" i="8"/>
  <c r="H18" i="8"/>
  <c r="H19" i="8"/>
  <c r="H20" i="8"/>
  <c r="H21" i="8"/>
  <c r="H33" i="8"/>
  <c r="H16" i="8"/>
  <c r="H35" i="8"/>
  <c r="H13" i="8"/>
  <c r="H23" i="8"/>
  <c r="H24" i="8"/>
  <c r="H14" i="8"/>
  <c r="H36" i="8"/>
  <c r="H26" i="8"/>
  <c r="H29" i="8"/>
  <c r="M37" i="5"/>
  <c r="P35" i="5"/>
  <c r="O47" i="8"/>
  <c r="N79" i="8"/>
  <c r="H58" i="8"/>
  <c r="I58" i="8"/>
  <c r="J58" i="8"/>
  <c r="F35" i="4"/>
  <c r="G35" i="4" s="1"/>
  <c r="G22" i="4"/>
  <c r="AD19" i="5"/>
  <c r="AE19" i="5"/>
  <c r="G75" i="17"/>
  <c r="L26" i="17"/>
  <c r="H41" i="17"/>
  <c r="H59" i="17"/>
  <c r="M19" i="16"/>
  <c r="M27" i="12"/>
  <c r="J29" i="12"/>
  <c r="L17" i="12"/>
  <c r="L29" i="12" s="1"/>
  <c r="L37" i="5"/>
  <c r="H53" i="8"/>
  <c r="M48" i="12"/>
  <c r="E13" i="8"/>
  <c r="R4" i="18"/>
  <c r="L46" i="8"/>
  <c r="P14" i="8"/>
  <c r="Q14" i="8" s="1"/>
  <c r="M14" i="8"/>
  <c r="O55" i="5"/>
  <c r="P55" i="5"/>
  <c r="AE35" i="5"/>
  <c r="AB37" i="5"/>
  <c r="AD35" i="5"/>
  <c r="O27" i="5"/>
  <c r="P27" i="5" s="1"/>
  <c r="P58" i="8"/>
  <c r="Q58" i="8"/>
  <c r="N90" i="8"/>
  <c r="O58" i="8"/>
  <c r="F28" i="4"/>
  <c r="G28" i="4" s="1"/>
  <c r="E30" i="4"/>
  <c r="F26" i="17"/>
  <c r="H24" i="17"/>
  <c r="P19" i="5"/>
  <c r="M24" i="17"/>
  <c r="K26" i="17"/>
  <c r="K95" i="17" s="1"/>
  <c r="M24" i="16"/>
  <c r="K50" i="12"/>
  <c r="I30" i="5"/>
  <c r="F45" i="5"/>
  <c r="H27" i="12"/>
  <c r="H32" i="8"/>
  <c r="G77" i="8"/>
  <c r="N15" i="8"/>
  <c r="O14" i="8"/>
  <c r="O27" i="8"/>
  <c r="O36" i="8"/>
  <c r="O13" i="8"/>
  <c r="O29" i="8"/>
  <c r="O30" i="8"/>
  <c r="O23" i="8"/>
  <c r="O24" i="8"/>
  <c r="O21" i="8"/>
  <c r="O16" i="8"/>
  <c r="O35" i="8"/>
  <c r="O18" i="8"/>
  <c r="O20" i="8"/>
  <c r="O32" i="8"/>
  <c r="O19" i="8"/>
  <c r="O33" i="8"/>
  <c r="F29" i="12"/>
  <c r="O52" i="8"/>
  <c r="N84" i="8"/>
  <c r="M39" i="5"/>
  <c r="W30" i="5"/>
  <c r="X30" i="5" s="1"/>
  <c r="T30" i="5"/>
  <c r="E36" i="8"/>
  <c r="R105" i="18"/>
  <c r="E23" i="16"/>
  <c r="G66" i="17"/>
  <c r="H66" i="17" s="1"/>
  <c r="G17" i="12"/>
  <c r="H56" i="17"/>
  <c r="Z30" i="5"/>
  <c r="AD18" i="5"/>
  <c r="G42" i="12"/>
  <c r="H42" i="12" s="1"/>
  <c r="E50" i="12"/>
  <c r="G50" i="12" s="1"/>
  <c r="H50" i="12" s="1"/>
  <c r="O26" i="8"/>
  <c r="AE51" i="5"/>
  <c r="AD55" i="5"/>
  <c r="AE55" i="5" s="1"/>
  <c r="AD28" i="5"/>
  <c r="AE28" i="5" s="1"/>
  <c r="L52" i="8"/>
  <c r="M20" i="8"/>
  <c r="P20" i="8"/>
  <c r="Q20" i="8" s="1"/>
  <c r="G17" i="4"/>
  <c r="P26" i="5"/>
  <c r="H52" i="8"/>
  <c r="E48" i="8"/>
  <c r="I16" i="8"/>
  <c r="J16" i="8" s="1"/>
  <c r="F16" i="8"/>
  <c r="L68" i="8"/>
  <c r="P36" i="8"/>
  <c r="M36" i="8"/>
  <c r="G24" i="17"/>
  <c r="E26" i="17"/>
  <c r="G26" i="17" s="1"/>
  <c r="H17" i="8"/>
  <c r="H35" i="17"/>
  <c r="M46" i="17"/>
  <c r="E89" i="17"/>
  <c r="E93" i="17" s="1"/>
  <c r="L86" i="17"/>
  <c r="J89" i="17"/>
  <c r="J93" i="17" s="1"/>
  <c r="L35" i="17"/>
  <c r="M35" i="17" s="1"/>
  <c r="O34" i="5"/>
  <c r="L34" i="5"/>
  <c r="K39" i="5"/>
  <c r="T14" i="5"/>
  <c r="T35" i="5"/>
  <c r="T37" i="5"/>
  <c r="T32" i="5"/>
  <c r="T19" i="5"/>
  <c r="T25" i="5"/>
  <c r="T38" i="5"/>
  <c r="T20" i="5"/>
  <c r="T26" i="5"/>
  <c r="T33" i="5"/>
  <c r="T36" i="5"/>
  <c r="T39" i="5"/>
  <c r="T27" i="5"/>
  <c r="T34" i="5"/>
  <c r="T16" i="5"/>
  <c r="T21" i="5"/>
  <c r="T42" i="5"/>
  <c r="T17" i="5"/>
  <c r="T29" i="5"/>
  <c r="T44" i="5"/>
  <c r="T18" i="5"/>
  <c r="T24" i="5"/>
  <c r="T45" i="5"/>
  <c r="T22" i="5"/>
  <c r="T28" i="5"/>
  <c r="T43" i="5"/>
  <c r="L45" i="8"/>
  <c r="L15" i="8"/>
  <c r="W10" i="20"/>
  <c r="M13" i="8"/>
  <c r="M29" i="8"/>
  <c r="M30" i="8"/>
  <c r="P13" i="8"/>
  <c r="Q13" i="8" s="1"/>
  <c r="M23" i="8"/>
  <c r="M24" i="8"/>
  <c r="M32" i="8"/>
  <c r="M18" i="8"/>
  <c r="M35" i="8"/>
  <c r="M26" i="8"/>
  <c r="M27" i="8"/>
  <c r="M16" i="8"/>
  <c r="M33" i="8"/>
  <c r="G16" i="4"/>
  <c r="K45" i="5"/>
  <c r="L44" i="5"/>
  <c r="AE26" i="5"/>
  <c r="L51" i="8"/>
  <c r="M19" i="8"/>
  <c r="P19" i="8"/>
  <c r="Q19" i="8" s="1"/>
  <c r="O28" i="5"/>
  <c r="P28" i="5" s="1"/>
  <c r="H56" i="8"/>
  <c r="J56" i="8"/>
  <c r="I56" i="8"/>
  <c r="F15" i="4"/>
  <c r="G15" i="4" s="1"/>
  <c r="H67" i="8"/>
  <c r="I67" i="8"/>
  <c r="J67" i="8" s="1"/>
  <c r="M59" i="17"/>
  <c r="G14" i="17"/>
  <c r="H14" i="17" s="1"/>
  <c r="L42" i="12"/>
  <c r="M42" i="12" s="1"/>
  <c r="J50" i="12"/>
  <c r="L50" i="12" s="1"/>
  <c r="H75" i="17"/>
  <c r="H51" i="8"/>
  <c r="G49" i="8"/>
  <c r="I51" i="8"/>
  <c r="J51" i="8" s="1"/>
  <c r="AD26" i="5"/>
  <c r="AD17" i="5"/>
  <c r="AE17" i="5" s="1"/>
  <c r="H30" i="8"/>
  <c r="H48" i="12"/>
  <c r="AB44" i="5"/>
  <c r="AE42" i="5"/>
  <c r="AD38" i="5"/>
  <c r="AE38" i="5" s="1"/>
  <c r="F89" i="17"/>
  <c r="F93" i="17" s="1"/>
  <c r="H86" i="17"/>
  <c r="H90" i="8"/>
  <c r="I90" i="8"/>
  <c r="J90" i="8" s="1"/>
  <c r="F33" i="4"/>
  <c r="G33" i="4" s="1"/>
  <c r="D37" i="4"/>
  <c r="H23" i="4"/>
  <c r="D23" i="4" s="1"/>
  <c r="F23" i="4" s="1"/>
  <c r="G23" i="4" s="1"/>
  <c r="H26" i="5"/>
  <c r="I26" i="5" s="1"/>
  <c r="E26" i="5"/>
  <c r="P43" i="5"/>
  <c r="AD16" i="5"/>
  <c r="AE16" i="5"/>
  <c r="AB18" i="5"/>
  <c r="E21" i="8"/>
  <c r="R99" i="18"/>
  <c r="E17" i="16"/>
  <c r="N49" i="8"/>
  <c r="P56" i="8"/>
  <c r="Q56" i="8" s="1"/>
  <c r="N88" i="8"/>
  <c r="O56" i="8"/>
  <c r="O67" i="8"/>
  <c r="P67" i="8"/>
  <c r="Q67" i="8" s="1"/>
  <c r="N99" i="8"/>
  <c r="L16" i="16"/>
  <c r="M16" i="16" s="1"/>
  <c r="I52" i="8"/>
  <c r="J52" i="8" s="1"/>
  <c r="M17" i="12"/>
  <c r="M29" i="12" s="1"/>
  <c r="K29" i="12"/>
  <c r="AD42" i="5"/>
  <c r="N83" i="8"/>
  <c r="O51" i="8"/>
  <c r="AD27" i="5"/>
  <c r="AE27" i="5" s="1"/>
  <c r="P38" i="5"/>
  <c r="O26" i="5"/>
  <c r="L26" i="5"/>
  <c r="O17" i="5"/>
  <c r="P17" i="5"/>
  <c r="P16" i="5"/>
  <c r="M18" i="5"/>
  <c r="O16" i="5"/>
  <c r="L53" i="8"/>
  <c r="M21" i="8"/>
  <c r="P21" i="8"/>
  <c r="Q21" i="8" s="1"/>
  <c r="O53" i="8"/>
  <c r="N85" i="8"/>
  <c r="P51" i="5"/>
  <c r="E25" i="4"/>
  <c r="E14" i="8"/>
  <c r="E19" i="12"/>
  <c r="M44" i="5"/>
  <c r="O44" i="5" s="1"/>
  <c r="P42" i="5"/>
  <c r="L66" i="17"/>
  <c r="M66" i="17" s="1"/>
  <c r="G86" i="17"/>
  <c r="G89" i="17" s="1"/>
  <c r="F29" i="4"/>
  <c r="G29" i="4" s="1"/>
  <c r="AD44" i="5"/>
  <c r="Z45" i="5"/>
  <c r="L75" i="17"/>
  <c r="M75" i="17" s="1"/>
  <c r="L37" i="12"/>
  <c r="M37" i="12" s="1"/>
  <c r="V50" i="5"/>
  <c r="V52" i="5"/>
  <c r="V54" i="5"/>
  <c r="V49" i="5"/>
  <c r="V55" i="5"/>
  <c r="V53" i="5"/>
  <c r="V47" i="5"/>
  <c r="V51" i="5"/>
  <c r="V57" i="5"/>
  <c r="O17" i="8"/>
  <c r="V39" i="5" l="1"/>
  <c r="W39" i="5"/>
  <c r="X39" i="5"/>
  <c r="U45" i="5"/>
  <c r="F42" i="4"/>
  <c r="G42" i="4" s="1"/>
  <c r="G19" i="12"/>
  <c r="H19" i="12" s="1"/>
  <c r="E21" i="12"/>
  <c r="G93" i="17"/>
  <c r="H93" i="17" s="1"/>
  <c r="E95" i="17"/>
  <c r="G17" i="5"/>
  <c r="G19" i="5"/>
  <c r="G21" i="5"/>
  <c r="G24" i="5"/>
  <c r="G26" i="5"/>
  <c r="G28" i="5"/>
  <c r="G33" i="5"/>
  <c r="G38" i="5"/>
  <c r="G42" i="5"/>
  <c r="G16" i="5"/>
  <c r="G20" i="5"/>
  <c r="G22" i="5"/>
  <c r="G25" i="5"/>
  <c r="G27" i="5"/>
  <c r="G29" i="5"/>
  <c r="G32" i="5"/>
  <c r="G34" i="5"/>
  <c r="G43" i="5"/>
  <c r="G45" i="5"/>
  <c r="G36" i="5"/>
  <c r="G37" i="5"/>
  <c r="G35" i="5"/>
  <c r="G14" i="5"/>
  <c r="G39" i="5"/>
  <c r="G44" i="5"/>
  <c r="G18" i="5"/>
  <c r="E78" i="8"/>
  <c r="L78" i="8"/>
  <c r="P46" i="8"/>
  <c r="Q46" i="8" s="1"/>
  <c r="M46" i="8"/>
  <c r="H15" i="8"/>
  <c r="E81" i="8"/>
  <c r="M49" i="8"/>
  <c r="L81" i="8"/>
  <c r="P49" i="8"/>
  <c r="Q49" i="8" s="1"/>
  <c r="O83" i="8"/>
  <c r="Q88" i="8"/>
  <c r="O88" i="8"/>
  <c r="P88" i="8"/>
  <c r="AE44" i="5"/>
  <c r="AB45" i="5"/>
  <c r="L45" i="5"/>
  <c r="L36" i="5"/>
  <c r="L28" i="5"/>
  <c r="L24" i="5"/>
  <c r="L17" i="5"/>
  <c r="L35" i="5"/>
  <c r="L14" i="5"/>
  <c r="L33" i="5"/>
  <c r="L21" i="5"/>
  <c r="L42" i="5"/>
  <c r="L27" i="5"/>
  <c r="L20" i="5"/>
  <c r="L25" i="5"/>
  <c r="L22" i="5"/>
  <c r="L38" i="5"/>
  <c r="L43" i="5"/>
  <c r="L29" i="5"/>
  <c r="L19" i="5"/>
  <c r="L16" i="5"/>
  <c r="L32" i="5"/>
  <c r="H17" i="12"/>
  <c r="Q90" i="8"/>
  <c r="O90" i="8"/>
  <c r="P90" i="8"/>
  <c r="AD37" i="5"/>
  <c r="AB39" i="5"/>
  <c r="O37" i="5"/>
  <c r="L47" i="8"/>
  <c r="W11" i="20"/>
  <c r="P15" i="8"/>
  <c r="Q15" i="8" s="1"/>
  <c r="M15" i="8"/>
  <c r="E100" i="8"/>
  <c r="M68" i="8"/>
  <c r="P68" i="8"/>
  <c r="Q68" i="8" s="1"/>
  <c r="L100" i="8"/>
  <c r="G30" i="5"/>
  <c r="V10" i="20"/>
  <c r="E15" i="8"/>
  <c r="E45" i="8"/>
  <c r="I13" i="8"/>
  <c r="J13" i="8" s="1"/>
  <c r="F18" i="8"/>
  <c r="F19" i="8"/>
  <c r="F20" i="8"/>
  <c r="F35" i="8"/>
  <c r="F26" i="8"/>
  <c r="F27" i="8"/>
  <c r="F29" i="8"/>
  <c r="F23" i="8"/>
  <c r="F24" i="8"/>
  <c r="F32" i="8"/>
  <c r="F13" i="8"/>
  <c r="F30" i="8"/>
  <c r="F33" i="8"/>
  <c r="G37" i="4"/>
  <c r="AA16" i="5"/>
  <c r="AA42" i="5"/>
  <c r="AA22" i="5"/>
  <c r="AA28" i="5"/>
  <c r="AA43" i="5"/>
  <c r="AA45" i="5"/>
  <c r="AA24" i="5"/>
  <c r="AD45" i="5"/>
  <c r="AA32" i="5"/>
  <c r="AA20" i="5"/>
  <c r="AA33" i="5"/>
  <c r="AA27" i="5"/>
  <c r="AA25" i="5"/>
  <c r="AA19" i="5"/>
  <c r="AA38" i="5"/>
  <c r="AA35" i="5"/>
  <c r="AA29" i="5"/>
  <c r="AA17" i="5"/>
  <c r="AA26" i="5"/>
  <c r="AA36" i="5"/>
  <c r="AA37" i="5"/>
  <c r="AA21" i="5"/>
  <c r="AA34" i="5"/>
  <c r="AA14" i="5"/>
  <c r="E85" i="8"/>
  <c r="M53" i="8"/>
  <c r="P53" i="8"/>
  <c r="Q53" i="8" s="1"/>
  <c r="L85" i="8"/>
  <c r="M30" i="5"/>
  <c r="Q99" i="8"/>
  <c r="O99" i="8"/>
  <c r="P99" i="8"/>
  <c r="E83" i="8"/>
  <c r="M51" i="8"/>
  <c r="L83" i="8"/>
  <c r="P51" i="8"/>
  <c r="Q51" i="8" s="1"/>
  <c r="E77" i="8"/>
  <c r="M58" i="8"/>
  <c r="M45" i="8"/>
  <c r="M50" i="8"/>
  <c r="M61" i="8"/>
  <c r="M48" i="8"/>
  <c r="P45" i="8"/>
  <c r="Q45" i="8" s="1"/>
  <c r="M56" i="8"/>
  <c r="M67" i="8"/>
  <c r="M59" i="8"/>
  <c r="M55" i="8"/>
  <c r="M62" i="8"/>
  <c r="L77" i="8"/>
  <c r="M64" i="8"/>
  <c r="M65" i="8"/>
  <c r="G23" i="16"/>
  <c r="E24" i="16"/>
  <c r="G24" i="16" s="1"/>
  <c r="H24" i="16" s="1"/>
  <c r="O84" i="8"/>
  <c r="M50" i="12"/>
  <c r="H26" i="17"/>
  <c r="O79" i="8"/>
  <c r="W19" i="20"/>
  <c r="F37" i="4"/>
  <c r="O85" i="8"/>
  <c r="N54" i="8"/>
  <c r="O49" i="8"/>
  <c r="N81" i="8"/>
  <c r="G17" i="16"/>
  <c r="H17" i="16" s="1"/>
  <c r="E19" i="16"/>
  <c r="G19" i="16" s="1"/>
  <c r="H19" i="16" s="1"/>
  <c r="AA18" i="5"/>
  <c r="O15" i="8"/>
  <c r="G79" i="8"/>
  <c r="N22" i="8"/>
  <c r="F30" i="4"/>
  <c r="G30" i="4"/>
  <c r="Q94" i="8"/>
  <c r="O94" i="8"/>
  <c r="P94" i="8"/>
  <c r="H49" i="8"/>
  <c r="G54" i="8"/>
  <c r="AA44" i="5"/>
  <c r="M45" i="5"/>
  <c r="P44" i="5"/>
  <c r="N44" i="5"/>
  <c r="H89" i="17"/>
  <c r="G22" i="8"/>
  <c r="F48" i="8"/>
  <c r="I48" i="8"/>
  <c r="J48" i="8" s="1"/>
  <c r="AA30" i="5"/>
  <c r="E68" i="8"/>
  <c r="F36" i="8"/>
  <c r="I36" i="8"/>
  <c r="O18" i="5"/>
  <c r="P18" i="5" s="1"/>
  <c r="H85" i="8"/>
  <c r="H99" i="8"/>
  <c r="H82" i="8"/>
  <c r="H81" i="8"/>
  <c r="H88" i="8"/>
  <c r="H96" i="8"/>
  <c r="H100" i="8"/>
  <c r="H83" i="8"/>
  <c r="H94" i="8"/>
  <c r="H91" i="8"/>
  <c r="H78" i="8"/>
  <c r="H97" i="8"/>
  <c r="H84" i="8"/>
  <c r="H87" i="8"/>
  <c r="H80" i="8"/>
  <c r="H93" i="8"/>
  <c r="F25" i="4"/>
  <c r="G25" i="4" s="1"/>
  <c r="E53" i="8"/>
  <c r="I21" i="8"/>
  <c r="J21" i="8" s="1"/>
  <c r="F21" i="8"/>
  <c r="E17" i="8"/>
  <c r="F95" i="17"/>
  <c r="L93" i="17"/>
  <c r="M93" i="17" s="1"/>
  <c r="J95" i="17"/>
  <c r="L95" i="17" s="1"/>
  <c r="M95" i="17" s="1"/>
  <c r="E84" i="8"/>
  <c r="M52" i="8"/>
  <c r="P52" i="8"/>
  <c r="Q52" i="8" s="1"/>
  <c r="L84" i="8"/>
  <c r="L18" i="5"/>
  <c r="M26" i="17"/>
  <c r="L30" i="5"/>
  <c r="E46" i="8"/>
  <c r="I14" i="8"/>
  <c r="J14" i="8" s="1"/>
  <c r="F14" i="8"/>
  <c r="AA39" i="5"/>
  <c r="AC18" i="5"/>
  <c r="AB30" i="5"/>
  <c r="AD30" i="5" s="1"/>
  <c r="AE18" i="5"/>
  <c r="D25" i="4"/>
  <c r="L39" i="5"/>
  <c r="O39" i="5"/>
  <c r="P39" i="5" s="1"/>
  <c r="L89" i="17"/>
  <c r="M86" i="17"/>
  <c r="M89" i="17" s="1"/>
  <c r="L22" i="8"/>
  <c r="E36" i="5"/>
  <c r="E27" i="5"/>
  <c r="E34" i="5"/>
  <c r="E35" i="5"/>
  <c r="E16" i="5"/>
  <c r="E21" i="5"/>
  <c r="E42" i="5"/>
  <c r="E22" i="5"/>
  <c r="E28" i="5"/>
  <c r="E43" i="5"/>
  <c r="E17" i="5"/>
  <c r="E29" i="5"/>
  <c r="E24" i="5"/>
  <c r="E44" i="5"/>
  <c r="E45" i="5"/>
  <c r="E19" i="5"/>
  <c r="E25" i="5"/>
  <c r="E38" i="5"/>
  <c r="E14" i="5"/>
  <c r="E20" i="5"/>
  <c r="E33" i="5"/>
  <c r="E37" i="5"/>
  <c r="E39" i="5"/>
  <c r="E32" i="5"/>
  <c r="H45" i="5"/>
  <c r="I45" i="5" s="1"/>
  <c r="E18" i="5"/>
  <c r="V17" i="5" l="1"/>
  <c r="V19" i="5"/>
  <c r="V24" i="5"/>
  <c r="V36" i="5"/>
  <c r="V44" i="5"/>
  <c r="V29" i="5"/>
  <c r="V14" i="5"/>
  <c r="V26" i="5"/>
  <c r="V16" i="5"/>
  <c r="V18" i="5"/>
  <c r="V21" i="5"/>
  <c r="V28" i="5"/>
  <c r="V37" i="5"/>
  <c r="V45" i="5"/>
  <c r="V43" i="5"/>
  <c r="V42" i="5"/>
  <c r="V20" i="5"/>
  <c r="V25" i="5"/>
  <c r="V35" i="5"/>
  <c r="V32" i="5"/>
  <c r="V38" i="5"/>
  <c r="V27" i="5"/>
  <c r="V22" i="5"/>
  <c r="V33" i="5"/>
  <c r="V34" i="5"/>
  <c r="U59" i="5"/>
  <c r="W45" i="5"/>
  <c r="X45" i="5" s="1"/>
  <c r="V30" i="5"/>
  <c r="M84" i="8"/>
  <c r="P84" i="8"/>
  <c r="Q84" i="8" s="1"/>
  <c r="E47" i="8"/>
  <c r="V11" i="20"/>
  <c r="I15" i="8"/>
  <c r="J15" i="8" s="1"/>
  <c r="F15" i="8"/>
  <c r="F68" i="8"/>
  <c r="I68" i="8"/>
  <c r="J68" i="8" s="1"/>
  <c r="F93" i="8"/>
  <c r="F90" i="8"/>
  <c r="F99" i="8"/>
  <c r="F80" i="8"/>
  <c r="F91" i="8"/>
  <c r="F82" i="8"/>
  <c r="F96" i="8"/>
  <c r="F87" i="8"/>
  <c r="F97" i="8"/>
  <c r="I77" i="8"/>
  <c r="J77" i="8" s="1"/>
  <c r="F88" i="8"/>
  <c r="F94" i="8"/>
  <c r="N30" i="5"/>
  <c r="O30" i="5"/>
  <c r="P30" i="5" s="1"/>
  <c r="P81" i="8"/>
  <c r="M81" i="8"/>
  <c r="P78" i="8"/>
  <c r="Q78" i="8" s="1"/>
  <c r="M78" i="8"/>
  <c r="G95" i="17"/>
  <c r="AC14" i="5"/>
  <c r="AC21" i="5"/>
  <c r="AC24" i="5"/>
  <c r="AC33" i="5"/>
  <c r="AC20" i="5"/>
  <c r="AC22" i="5"/>
  <c r="AC25" i="5"/>
  <c r="AC29" i="5"/>
  <c r="AC32" i="5"/>
  <c r="AC43" i="5"/>
  <c r="AC45" i="5"/>
  <c r="AE45" i="5"/>
  <c r="AC34" i="5"/>
  <c r="AC36" i="5"/>
  <c r="AC26" i="5"/>
  <c r="AC19" i="5"/>
  <c r="AC17" i="5"/>
  <c r="AC38" i="5"/>
  <c r="AC42" i="5"/>
  <c r="AC16" i="5"/>
  <c r="AC28" i="5"/>
  <c r="AC35" i="5"/>
  <c r="AC27" i="5"/>
  <c r="N29" i="5"/>
  <c r="N25" i="5"/>
  <c r="N22" i="5"/>
  <c r="N20" i="5"/>
  <c r="N36" i="5"/>
  <c r="N45" i="5"/>
  <c r="N33" i="5"/>
  <c r="N24" i="5"/>
  <c r="N21" i="5"/>
  <c r="N14" i="5"/>
  <c r="N32" i="5"/>
  <c r="N35" i="5"/>
  <c r="N27" i="5"/>
  <c r="N17" i="5"/>
  <c r="N28" i="5"/>
  <c r="N43" i="5"/>
  <c r="N16" i="5"/>
  <c r="N42" i="5"/>
  <c r="N38" i="5"/>
  <c r="N34" i="5"/>
  <c r="N26" i="5"/>
  <c r="N19" i="5"/>
  <c r="I84" i="8"/>
  <c r="J84" i="8" s="1"/>
  <c r="F84" i="8"/>
  <c r="F53" i="8"/>
  <c r="I53" i="8"/>
  <c r="J53" i="8" s="1"/>
  <c r="Q81" i="8"/>
  <c r="O81" i="8"/>
  <c r="M83" i="8"/>
  <c r="P83" i="8"/>
  <c r="Q83" i="8" s="1"/>
  <c r="M100" i="8"/>
  <c r="P100" i="8"/>
  <c r="Q100" i="8" s="1"/>
  <c r="F81" i="8"/>
  <c r="I81" i="8"/>
  <c r="J81" i="8" s="1"/>
  <c r="I46" i="8"/>
  <c r="J46" i="8" s="1"/>
  <c r="F46" i="8"/>
  <c r="O22" i="8"/>
  <c r="N25" i="8"/>
  <c r="G86" i="8"/>
  <c r="M85" i="8"/>
  <c r="P85" i="8"/>
  <c r="Q85" i="8" s="1"/>
  <c r="AC39" i="5"/>
  <c r="AD39" i="5"/>
  <c r="AE39" i="5" s="1"/>
  <c r="L25" i="8"/>
  <c r="L54" i="8"/>
  <c r="M22" i="8"/>
  <c r="P22" i="8"/>
  <c r="Q22" i="8" s="1"/>
  <c r="I78" i="8"/>
  <c r="J78" i="8" s="1"/>
  <c r="F78" i="8"/>
  <c r="G57" i="8"/>
  <c r="H54" i="8"/>
  <c r="H79" i="8"/>
  <c r="P77" i="8"/>
  <c r="Q77" i="8" s="1"/>
  <c r="M93" i="8"/>
  <c r="M97" i="8"/>
  <c r="M90" i="8"/>
  <c r="M88" i="8"/>
  <c r="M94" i="8"/>
  <c r="M80" i="8"/>
  <c r="M96" i="8"/>
  <c r="M87" i="8"/>
  <c r="M99" i="8"/>
  <c r="M91" i="8"/>
  <c r="M82" i="8"/>
  <c r="F83" i="8"/>
  <c r="I83" i="8"/>
  <c r="J83" i="8" s="1"/>
  <c r="G21" i="12"/>
  <c r="E29" i="12"/>
  <c r="E79" i="8"/>
  <c r="M47" i="8"/>
  <c r="L79" i="8"/>
  <c r="P47" i="8"/>
  <c r="Q47" i="8" s="1"/>
  <c r="AC44" i="5"/>
  <c r="G25" i="8"/>
  <c r="H22" i="8"/>
  <c r="N57" i="8"/>
  <c r="O54" i="8"/>
  <c r="N86" i="8"/>
  <c r="I100" i="8"/>
  <c r="F100" i="8"/>
  <c r="AC37" i="5"/>
  <c r="O45" i="5"/>
  <c r="P45" i="5" s="1"/>
  <c r="N37" i="5"/>
  <c r="N39" i="5"/>
  <c r="E49" i="8"/>
  <c r="E22" i="8"/>
  <c r="I17" i="8"/>
  <c r="J17" i="8" s="1"/>
  <c r="F17" i="8"/>
  <c r="N18" i="5"/>
  <c r="AC30" i="5"/>
  <c r="AE30" i="5"/>
  <c r="H95" i="17"/>
  <c r="F85" i="8"/>
  <c r="I85" i="8"/>
  <c r="J85" i="8" s="1"/>
  <c r="F55" i="8"/>
  <c r="I45" i="8"/>
  <c r="J45" i="8" s="1"/>
  <c r="F65" i="8"/>
  <c r="F58" i="8"/>
  <c r="F45" i="8"/>
  <c r="F50" i="8"/>
  <c r="F62" i="8"/>
  <c r="F64" i="8"/>
  <c r="F51" i="8"/>
  <c r="F61" i="8"/>
  <c r="F67" i="8"/>
  <c r="F56" i="8"/>
  <c r="F59" i="8"/>
  <c r="F52" i="8"/>
  <c r="M79" i="8" l="1"/>
  <c r="P79" i="8"/>
  <c r="Q79" i="8" s="1"/>
  <c r="N60" i="8"/>
  <c r="O57" i="8"/>
  <c r="N89" i="8"/>
  <c r="H25" i="8"/>
  <c r="G28" i="8"/>
  <c r="H21" i="12"/>
  <c r="H29" i="12" s="1"/>
  <c r="G29" i="12"/>
  <c r="E86" i="8"/>
  <c r="L86" i="8"/>
  <c r="M54" i="8"/>
  <c r="P54" i="8"/>
  <c r="Q54" i="8" s="1"/>
  <c r="H86" i="8"/>
  <c r="F79" i="8"/>
  <c r="I79" i="8"/>
  <c r="J79" i="8" s="1"/>
  <c r="L28" i="8"/>
  <c r="L57" i="8"/>
  <c r="W12" i="20"/>
  <c r="M25" i="8"/>
  <c r="P25" i="8"/>
  <c r="Q25" i="8" s="1"/>
  <c r="O25" i="8"/>
  <c r="N28" i="8"/>
  <c r="G89" i="8"/>
  <c r="F47" i="8"/>
  <c r="I47" i="8"/>
  <c r="J47" i="8" s="1"/>
  <c r="O86" i="8"/>
  <c r="H57" i="8"/>
  <c r="G60" i="8"/>
  <c r="E54" i="8"/>
  <c r="E25" i="8"/>
  <c r="I22" i="8"/>
  <c r="J22" i="8" s="1"/>
  <c r="F22" i="8"/>
  <c r="F49" i="8"/>
  <c r="I49" i="8"/>
  <c r="J49" i="8" s="1"/>
  <c r="W26" i="20" l="1"/>
  <c r="W25" i="20"/>
  <c r="O89" i="8"/>
  <c r="E57" i="8"/>
  <c r="E28" i="8"/>
  <c r="I25" i="8"/>
  <c r="J25" i="8" s="1"/>
  <c r="V12" i="20"/>
  <c r="V25" i="20" s="1"/>
  <c r="F25" i="8"/>
  <c r="E89" i="8"/>
  <c r="P57" i="8"/>
  <c r="Q57" i="8" s="1"/>
  <c r="L89" i="8"/>
  <c r="M57" i="8"/>
  <c r="P86" i="8"/>
  <c r="Q86" i="8" s="1"/>
  <c r="M86" i="8"/>
  <c r="L31" i="8"/>
  <c r="L60" i="8"/>
  <c r="P28" i="8"/>
  <c r="M28" i="8"/>
  <c r="F86" i="8"/>
  <c r="I86" i="8"/>
  <c r="J86" i="8" s="1"/>
  <c r="N31" i="8"/>
  <c r="O28" i="8"/>
  <c r="Q28" i="8"/>
  <c r="G92" i="8"/>
  <c r="N63" i="8"/>
  <c r="O60" i="8"/>
  <c r="N92" i="8"/>
  <c r="I54" i="8"/>
  <c r="J54" i="8" s="1"/>
  <c r="F54" i="8"/>
  <c r="H60" i="8"/>
  <c r="G63" i="8"/>
  <c r="H89" i="8"/>
  <c r="H28" i="8"/>
  <c r="G31" i="8"/>
  <c r="H63" i="8" l="1"/>
  <c r="G66" i="8"/>
  <c r="O31" i="8"/>
  <c r="N34" i="8"/>
  <c r="Q31" i="8"/>
  <c r="G95" i="8"/>
  <c r="E31" i="8"/>
  <c r="E60" i="8"/>
  <c r="F28" i="8"/>
  <c r="I28" i="8"/>
  <c r="J28" i="8" s="1"/>
  <c r="H92" i="8"/>
  <c r="L34" i="8"/>
  <c r="L63" i="8"/>
  <c r="M31" i="8"/>
  <c r="P31" i="8"/>
  <c r="F57" i="8"/>
  <c r="I57" i="8"/>
  <c r="J57" i="8" s="1"/>
  <c r="E92" i="8"/>
  <c r="M60" i="8"/>
  <c r="P60" i="8"/>
  <c r="Q60" i="8" s="1"/>
  <c r="L92" i="8"/>
  <c r="G34" i="8"/>
  <c r="H31" i="8"/>
  <c r="O92" i="8"/>
  <c r="M89" i="8"/>
  <c r="P89" i="8"/>
  <c r="Q89" i="8" s="1"/>
  <c r="N66" i="8"/>
  <c r="O63" i="8"/>
  <c r="N95" i="8"/>
  <c r="I89" i="8"/>
  <c r="J89" i="8" s="1"/>
  <c r="F89" i="8"/>
  <c r="E34" i="8" l="1"/>
  <c r="E63" i="8"/>
  <c r="I31" i="8"/>
  <c r="J31" i="8" s="1"/>
  <c r="F31" i="8"/>
  <c r="M92" i="8"/>
  <c r="P92" i="8"/>
  <c r="Q92" i="8" s="1"/>
  <c r="Q34" i="8"/>
  <c r="G98" i="8"/>
  <c r="O34" i="8"/>
  <c r="N37" i="8"/>
  <c r="I92" i="8"/>
  <c r="J92" i="8" s="1"/>
  <c r="F92" i="8"/>
  <c r="H95" i="8"/>
  <c r="G69" i="8"/>
  <c r="H66" i="8"/>
  <c r="N69" i="8"/>
  <c r="O66" i="8"/>
  <c r="N98" i="8"/>
  <c r="E95" i="8"/>
  <c r="L95" i="8"/>
  <c r="M63" i="8"/>
  <c r="P63" i="8"/>
  <c r="Q63" i="8" s="1"/>
  <c r="L37" i="8"/>
  <c r="L66" i="8"/>
  <c r="M34" i="8"/>
  <c r="P34" i="8"/>
  <c r="O95" i="8"/>
  <c r="H34" i="8"/>
  <c r="G37" i="8"/>
  <c r="I60" i="8"/>
  <c r="J60" i="8" s="1"/>
  <c r="F60" i="8"/>
  <c r="H69" i="8" l="1"/>
  <c r="H98" i="8"/>
  <c r="I95" i="8"/>
  <c r="J95" i="8" s="1"/>
  <c r="F95" i="8"/>
  <c r="O98" i="8"/>
  <c r="P95" i="8"/>
  <c r="Q95" i="8" s="1"/>
  <c r="M95" i="8"/>
  <c r="P66" i="8"/>
  <c r="Q66" i="8" s="1"/>
  <c r="E98" i="8"/>
  <c r="L98" i="8"/>
  <c r="M66" i="8"/>
  <c r="L69" i="8"/>
  <c r="W13" i="20"/>
  <c r="W24" i="20" s="1"/>
  <c r="D12" i="4"/>
  <c r="M37" i="8"/>
  <c r="P37" i="8"/>
  <c r="Q37" i="8" s="1"/>
  <c r="N101" i="8"/>
  <c r="M54" i="5"/>
  <c r="O69" i="8"/>
  <c r="E12" i="4"/>
  <c r="O37" i="8"/>
  <c r="F54" i="5"/>
  <c r="G101" i="8"/>
  <c r="F63" i="8"/>
  <c r="I63" i="8"/>
  <c r="J63" i="8" s="1"/>
  <c r="H37" i="8"/>
  <c r="E37" i="8"/>
  <c r="E66" i="8"/>
  <c r="F34" i="8"/>
  <c r="I34" i="8"/>
  <c r="J34" i="8" s="1"/>
  <c r="E101" i="8" l="1"/>
  <c r="L101" i="8"/>
  <c r="M69" i="8"/>
  <c r="P69" i="8"/>
  <c r="Q69" i="8" s="1"/>
  <c r="M56" i="5"/>
  <c r="P98" i="8"/>
  <c r="Q98" i="8" s="1"/>
  <c r="M98" i="8"/>
  <c r="I98" i="8"/>
  <c r="J98" i="8" s="1"/>
  <c r="F98" i="8"/>
  <c r="F56" i="5"/>
  <c r="H101" i="8"/>
  <c r="F66" i="8"/>
  <c r="I66" i="8"/>
  <c r="J66" i="8" s="1"/>
  <c r="E18" i="4"/>
  <c r="AB54" i="5"/>
  <c r="O101" i="8"/>
  <c r="E69" i="8"/>
  <c r="V13" i="20"/>
  <c r="F37" i="8"/>
  <c r="I37" i="8"/>
  <c r="J37" i="8" s="1"/>
  <c r="D18" i="4"/>
  <c r="F12" i="4"/>
  <c r="G12" i="4" s="1"/>
  <c r="F57" i="5" l="1"/>
  <c r="G56" i="5" s="1"/>
  <c r="AB56" i="5"/>
  <c r="M57" i="5"/>
  <c r="F18" i="4"/>
  <c r="D26" i="4"/>
  <c r="F69" i="8"/>
  <c r="I69" i="8"/>
  <c r="J69" i="8" s="1"/>
  <c r="G18" i="4"/>
  <c r="E26" i="4"/>
  <c r="M101" i="8"/>
  <c r="P101" i="8"/>
  <c r="Q101" i="8" s="1"/>
  <c r="V26" i="20"/>
  <c r="V24" i="20"/>
  <c r="Z54" i="5"/>
  <c r="S54" i="5"/>
  <c r="K54" i="5"/>
  <c r="D54" i="5"/>
  <c r="F101" i="8"/>
  <c r="I101" i="8"/>
  <c r="J101" i="8" s="1"/>
  <c r="N57" i="5" l="1"/>
  <c r="N52" i="5"/>
  <c r="N50" i="5"/>
  <c r="N47" i="5"/>
  <c r="M59" i="5"/>
  <c r="N49" i="5"/>
  <c r="N53" i="5"/>
  <c r="N55" i="5"/>
  <c r="N51" i="5"/>
  <c r="N54" i="5"/>
  <c r="O54" i="5"/>
  <c r="P54" i="5" s="1"/>
  <c r="K56" i="5"/>
  <c r="AB57" i="5"/>
  <c r="H54" i="5"/>
  <c r="I54" i="5" s="1"/>
  <c r="D56" i="5"/>
  <c r="W54" i="5"/>
  <c r="X54" i="5" s="1"/>
  <c r="S56" i="5"/>
  <c r="AD54" i="5"/>
  <c r="AE54" i="5" s="1"/>
  <c r="Z56" i="5"/>
  <c r="F26" i="4"/>
  <c r="W17" i="20"/>
  <c r="W20" i="20" s="1"/>
  <c r="D31" i="4"/>
  <c r="G26" i="4"/>
  <c r="E31" i="4"/>
  <c r="N56" i="5"/>
  <c r="G49" i="5"/>
  <c r="G51" i="5"/>
  <c r="G53" i="5"/>
  <c r="G55" i="5"/>
  <c r="G57" i="5"/>
  <c r="G47" i="5"/>
  <c r="G50" i="5"/>
  <c r="F59" i="5"/>
  <c r="G52" i="5"/>
  <c r="G54" i="5"/>
  <c r="S57" i="5" l="1"/>
  <c r="W56" i="5"/>
  <c r="X56" i="5" s="1"/>
  <c r="K57" i="5"/>
  <c r="O56" i="5"/>
  <c r="P56" i="5" s="1"/>
  <c r="L56" i="5"/>
  <c r="D57" i="5"/>
  <c r="H56" i="5"/>
  <c r="I56" i="5" s="1"/>
  <c r="E38" i="4"/>
  <c r="F31" i="4"/>
  <c r="G31" i="4" s="1"/>
  <c r="D38" i="4"/>
  <c r="AC49" i="5"/>
  <c r="AC53" i="5"/>
  <c r="AC57" i="5"/>
  <c r="AC47" i="5"/>
  <c r="AB59" i="5"/>
  <c r="AC52" i="5"/>
  <c r="AC50" i="5"/>
  <c r="AC51" i="5"/>
  <c r="AC55" i="5"/>
  <c r="AC54" i="5"/>
  <c r="Z57" i="5"/>
  <c r="AD56" i="5"/>
  <c r="AE56" i="5" s="1"/>
  <c r="AA56" i="5"/>
  <c r="AC56" i="5"/>
  <c r="D44" i="4" l="1"/>
  <c r="F38" i="4"/>
  <c r="G38" i="4" s="1"/>
  <c r="L57" i="5"/>
  <c r="L55" i="5"/>
  <c r="O57" i="5"/>
  <c r="K59" i="5"/>
  <c r="L49" i="5"/>
  <c r="L47" i="5"/>
  <c r="L50" i="5"/>
  <c r="L51" i="5"/>
  <c r="L52" i="5"/>
  <c r="L53" i="5"/>
  <c r="L54" i="5"/>
  <c r="E47" i="5"/>
  <c r="E57" i="5"/>
  <c r="E51" i="5"/>
  <c r="H57" i="5"/>
  <c r="D59" i="5"/>
  <c r="E52" i="5"/>
  <c r="E55" i="5"/>
  <c r="E49" i="5"/>
  <c r="E50" i="5"/>
  <c r="E53" i="5"/>
  <c r="E54" i="5"/>
  <c r="E44" i="4"/>
  <c r="T52" i="5"/>
  <c r="T49" i="5"/>
  <c r="T47" i="5"/>
  <c r="T57" i="5"/>
  <c r="W57" i="5"/>
  <c r="S59" i="5"/>
  <c r="T55" i="5"/>
  <c r="T51" i="5"/>
  <c r="T50" i="5"/>
  <c r="T53" i="5"/>
  <c r="T54" i="5"/>
  <c r="AA57" i="5"/>
  <c r="Z59" i="5"/>
  <c r="AA47" i="5"/>
  <c r="AD57" i="5"/>
  <c r="AA52" i="5"/>
  <c r="AA49" i="5"/>
  <c r="AA50" i="5"/>
  <c r="AA53" i="5"/>
  <c r="AA51" i="5"/>
  <c r="AA55" i="5"/>
  <c r="AA54" i="5"/>
  <c r="E56" i="5"/>
  <c r="T56" i="5"/>
  <c r="W59" i="5" l="1"/>
  <c r="X57" i="5"/>
  <c r="O59" i="5"/>
  <c r="P57" i="5"/>
  <c r="AD59" i="5"/>
  <c r="AE57" i="5"/>
  <c r="H59" i="5"/>
  <c r="I57" i="5"/>
</calcChain>
</file>

<file path=xl/sharedStrings.xml><?xml version="1.0" encoding="utf-8"?>
<sst xmlns="http://schemas.openxmlformats.org/spreadsheetml/2006/main" count="1815" uniqueCount="479">
  <si>
    <t>Monthly</t>
  </si>
  <si>
    <t>Financial Results</t>
  </si>
  <si>
    <t>INDEX</t>
  </si>
  <si>
    <t>P&amp;L (EBITDA, EBIT form) - ACTUAL vs BUDGET</t>
  </si>
  <si>
    <t>P&amp;L (EBITDA, EBIT form)- ACTUAL vs PREV.YEAR</t>
  </si>
  <si>
    <t>P&amp;L (EBITDA, EBIT form) - ACT vs BDG &amp; PREV.YEAR</t>
  </si>
  <si>
    <t>Balance Sheet</t>
  </si>
  <si>
    <t>Cash Flow</t>
  </si>
  <si>
    <t>Backup Documentation</t>
  </si>
  <si>
    <t>Cost Of Sales</t>
  </si>
  <si>
    <t>Opex</t>
  </si>
  <si>
    <t>Other Income</t>
  </si>
  <si>
    <t>FINANCIAL</t>
  </si>
  <si>
    <t>RESULTS</t>
  </si>
  <si>
    <t>P &amp; L SUMMARY</t>
  </si>
  <si>
    <t>TOTAL COMPANY</t>
  </si>
  <si>
    <t>ACTUAL vs BUDGET</t>
  </si>
  <si>
    <t>EUR/1000</t>
  </si>
  <si>
    <t>BACK UP</t>
  </si>
  <si>
    <t>DOCUMENTATION</t>
  </si>
  <si>
    <t>DESCRIPTION</t>
  </si>
  <si>
    <t>REVENUES</t>
  </si>
  <si>
    <t>COST OF GOOD SOLD</t>
  </si>
  <si>
    <t>GROSS MARGIN</t>
  </si>
  <si>
    <t>NETWORK COSTS</t>
  </si>
  <si>
    <t>LABOUR COSTS</t>
  </si>
  <si>
    <t>INCOME TAXES</t>
  </si>
  <si>
    <t>NET PROFIT/(LOSS)</t>
  </si>
  <si>
    <t>FIXED OVERHEADS</t>
  </si>
  <si>
    <t>Advertising &amp; Promotion</t>
  </si>
  <si>
    <t>Consultancy</t>
  </si>
  <si>
    <t>G&amp;A</t>
  </si>
  <si>
    <t>Other</t>
  </si>
  <si>
    <t>VALUE ADDED</t>
  </si>
  <si>
    <t>STAFF RELATED EXPENSES</t>
  </si>
  <si>
    <t>GROSS OPERATING MARGIN (EBITDA)</t>
  </si>
  <si>
    <t>DEPRECIATION AND AMORTIZATION (*)</t>
  </si>
  <si>
    <t>OTHER ACCRUAL</t>
  </si>
  <si>
    <t>AMORTIZATION OF IPO</t>
  </si>
  <si>
    <t xml:space="preserve">AMORTIZATION OF GOODWILL </t>
  </si>
  <si>
    <t>OPERATING RESULT (EBIT)</t>
  </si>
  <si>
    <t>NET FINANCIAL INCOME/(COSTS)</t>
  </si>
  <si>
    <t>EXTRAORDINARY ITEMS</t>
  </si>
  <si>
    <t>PROFIT/ (LOSS) before taxes &amp; Min.Interest (EBT)</t>
  </si>
  <si>
    <t>MINORITY INTEREST</t>
  </si>
  <si>
    <t>Inventory</t>
  </si>
  <si>
    <t>Other Current Liabilities</t>
  </si>
  <si>
    <t>Deferred Revenues</t>
  </si>
  <si>
    <t>TOTAL NET WORKING CAPITAL</t>
  </si>
  <si>
    <t>Gross Tangible Fixed Assets</t>
  </si>
  <si>
    <t>Accumuleted Depreciation</t>
  </si>
  <si>
    <t>Gross Intangible Fixed Assets</t>
  </si>
  <si>
    <t>Net Equity Investments</t>
  </si>
  <si>
    <t>TOTAL CAPITAL EMPLOYED</t>
  </si>
  <si>
    <t>Borrowing / (Cash)</t>
  </si>
  <si>
    <t>Share Capital</t>
  </si>
  <si>
    <t>Legal Reserve</t>
  </si>
  <si>
    <t>Share Premium Reserve</t>
  </si>
  <si>
    <t>Other Reserve</t>
  </si>
  <si>
    <t>Retained Earning Previous Years</t>
  </si>
  <si>
    <t>Retained Earning Current Year</t>
  </si>
  <si>
    <t>Minority Interest</t>
  </si>
  <si>
    <t>TOTAL FUNDING</t>
  </si>
  <si>
    <t>REPORTED NET PROFIT/ (LOSS)</t>
  </si>
  <si>
    <t>ADJUSTMENT TO RECONCILE NET PROFIT/ :</t>
  </si>
  <si>
    <t>(LOSS) TO NET CASH ABSORBED IN OPERATIONS</t>
  </si>
  <si>
    <t>- Depreciation &amp; Amortization</t>
  </si>
  <si>
    <t>- Allowance for doubtful accounts &amp; bad debts</t>
  </si>
  <si>
    <t>- Staff leaving indemnity provision</t>
  </si>
  <si>
    <t>CHANGES IN WORKING CAPITAL:</t>
  </si>
  <si>
    <t xml:space="preserve">- Notes and accounts receivebles </t>
  </si>
  <si>
    <t>(INCR.) / DECR.</t>
  </si>
  <si>
    <t xml:space="preserve">- Other current assets </t>
  </si>
  <si>
    <t xml:space="preserve">- Accounts payable </t>
  </si>
  <si>
    <t>INCR. / (DECR.)</t>
  </si>
  <si>
    <t xml:space="preserve">- Accrued Taxes  </t>
  </si>
  <si>
    <t>- Other current liabilities</t>
  </si>
  <si>
    <t>- Other long term liabilities</t>
  </si>
  <si>
    <t>INVESTING ACTIVITIES:</t>
  </si>
  <si>
    <t>- Purchase of Tangible Fixed Assets  (P.P. &amp; E.)</t>
  </si>
  <si>
    <t>(-)</t>
  </si>
  <si>
    <t>- Changes in Intagibles Fixed Assets</t>
  </si>
  <si>
    <t>FINANCING ACTIVITIES (*):</t>
  </si>
  <si>
    <t>- Issue of Ordinary Share capital</t>
  </si>
  <si>
    <t>(+)</t>
  </si>
  <si>
    <t>- Minority Interests</t>
  </si>
  <si>
    <t>TOTAL NET CASH FLOW</t>
  </si>
  <si>
    <t>NET CHANGE IN  CASH:</t>
  </si>
  <si>
    <t>Cash, beginning of period</t>
  </si>
  <si>
    <t>Cash, end of period</t>
  </si>
  <si>
    <t>Promotions</t>
  </si>
  <si>
    <t>Commercial Costs</t>
  </si>
  <si>
    <t>TOTAL COST OF SALES</t>
  </si>
  <si>
    <t>G&amp;A Costs</t>
  </si>
  <si>
    <t>Surveillance Staff</t>
  </si>
  <si>
    <t>Utilities (Power Supply)</t>
  </si>
  <si>
    <t>Maintenance</t>
  </si>
  <si>
    <t>Tot G&amp;A</t>
  </si>
  <si>
    <t>Depreciation on Asset Acq.</t>
  </si>
  <si>
    <t>Depreciation on Technical Infrastructure</t>
  </si>
  <si>
    <t>Depreciation on Network Infrastructure</t>
  </si>
  <si>
    <t>Tot Depreciations</t>
  </si>
  <si>
    <t>Compensation - Fixed</t>
  </si>
  <si>
    <t>Compensation - Variable</t>
  </si>
  <si>
    <t>Total Compensation</t>
  </si>
  <si>
    <t>Staff Related Expenses:</t>
  </si>
  <si>
    <t>Travel</t>
  </si>
  <si>
    <t>Tickets Restaurant</t>
  </si>
  <si>
    <t>Cars' Rental</t>
  </si>
  <si>
    <t>Temporary Labour Contract</t>
  </si>
  <si>
    <t>Insurances</t>
  </si>
  <si>
    <t>Total Staff Related Expenses</t>
  </si>
  <si>
    <t>Total Personnel</t>
  </si>
  <si>
    <t>Consulting Expenses:</t>
  </si>
  <si>
    <t>Managing Director</t>
  </si>
  <si>
    <t>Financial</t>
  </si>
  <si>
    <t>Sales</t>
  </si>
  <si>
    <t>Network</t>
  </si>
  <si>
    <t>Technical</t>
  </si>
  <si>
    <t>Merging &amp;Acquisitions</t>
  </si>
  <si>
    <t>Total Consulting Expenses</t>
  </si>
  <si>
    <t>Advertising/Promotion:</t>
  </si>
  <si>
    <t>Events/Seminars/Conventions</t>
  </si>
  <si>
    <t>Materials</t>
  </si>
  <si>
    <t>Total Advertising &amp; Promotion</t>
  </si>
  <si>
    <t>IT Systems:</t>
  </si>
  <si>
    <t>Maintenance HW/SW</t>
  </si>
  <si>
    <t>Total IT Systems</t>
  </si>
  <si>
    <t>G&amp;A:</t>
  </si>
  <si>
    <t>Board of Directors</t>
  </si>
  <si>
    <t>Legal Credit mngt</t>
  </si>
  <si>
    <t>Non personnel Insurances</t>
  </si>
  <si>
    <t>Office Supplies:</t>
  </si>
  <si>
    <t>Office Equipment Rental</t>
  </si>
  <si>
    <t>Repairs &amp; Maintenance</t>
  </si>
  <si>
    <t>Total Office Supplies</t>
  </si>
  <si>
    <t>Facilities:</t>
  </si>
  <si>
    <t>Office Rent</t>
  </si>
  <si>
    <t>Accomodation Expenses</t>
  </si>
  <si>
    <t>Office Cleaning</t>
  </si>
  <si>
    <t>Total Facilities</t>
  </si>
  <si>
    <t>Telecommunications:</t>
  </si>
  <si>
    <t>Telephone Exchange/Lines/Faxes</t>
  </si>
  <si>
    <t>Mobile Phones</t>
  </si>
  <si>
    <t>Total Telecommunications</t>
  </si>
  <si>
    <t>Outside Services:</t>
  </si>
  <si>
    <t>Payroll Outside Services</t>
  </si>
  <si>
    <t>Other Outside Services</t>
  </si>
  <si>
    <t>Total Outside Services</t>
  </si>
  <si>
    <t>Total G&amp;A</t>
  </si>
  <si>
    <t>Depreciation</t>
  </si>
  <si>
    <t>Total Non-Personnel Expenses</t>
  </si>
  <si>
    <t>TOTAL OPERATING EXPENSES</t>
  </si>
  <si>
    <t>TOTAL OTHER INCOME / (EXPENSES)</t>
  </si>
  <si>
    <t>VARIANCE</t>
  </si>
  <si>
    <t>VALUE</t>
  </si>
  <si>
    <t>%</t>
  </si>
  <si>
    <t>ACTUAL</t>
  </si>
  <si>
    <t>BUDGET</t>
  </si>
  <si>
    <t>Revenues</t>
  </si>
  <si>
    <t>R</t>
  </si>
  <si>
    <t>Operating Expenses</t>
  </si>
  <si>
    <t>Tfr</t>
  </si>
  <si>
    <t>opex11</t>
  </si>
  <si>
    <t>opex12</t>
  </si>
  <si>
    <t>opex13</t>
  </si>
  <si>
    <t>opex14</t>
  </si>
  <si>
    <t>opex15</t>
  </si>
  <si>
    <t>opex16</t>
  </si>
  <si>
    <t>opex17</t>
  </si>
  <si>
    <t>opex18</t>
  </si>
  <si>
    <t>opex19</t>
  </si>
  <si>
    <t>opex20</t>
  </si>
  <si>
    <t>opex24</t>
  </si>
  <si>
    <t>opex26</t>
  </si>
  <si>
    <t>opex27</t>
  </si>
  <si>
    <t>Materials It</t>
  </si>
  <si>
    <t>opex28</t>
  </si>
  <si>
    <t>opex29</t>
  </si>
  <si>
    <t>opex31</t>
  </si>
  <si>
    <t>opex32</t>
  </si>
  <si>
    <t>opex34</t>
  </si>
  <si>
    <t>opex35</t>
  </si>
  <si>
    <t>opex37</t>
  </si>
  <si>
    <t>opex38</t>
  </si>
  <si>
    <t>opex39</t>
  </si>
  <si>
    <t>opex40</t>
  </si>
  <si>
    <t>opex41</t>
  </si>
  <si>
    <t>opex42</t>
  </si>
  <si>
    <t>opex43</t>
  </si>
  <si>
    <t>opex44</t>
  </si>
  <si>
    <t>opex46</t>
  </si>
  <si>
    <t>opex47</t>
  </si>
  <si>
    <t>opex48</t>
  </si>
  <si>
    <t>opex49</t>
  </si>
  <si>
    <t>opex50</t>
  </si>
  <si>
    <t>opex52</t>
  </si>
  <si>
    <t>opex53</t>
  </si>
  <si>
    <t>Product Cost of Sales</t>
  </si>
  <si>
    <t>co</t>
  </si>
  <si>
    <t>cos01</t>
  </si>
  <si>
    <t>cos02</t>
  </si>
  <si>
    <t>cos03</t>
  </si>
  <si>
    <t>cos05</t>
  </si>
  <si>
    <t>cos06</t>
  </si>
  <si>
    <t>cos07</t>
  </si>
  <si>
    <t>cos08</t>
  </si>
  <si>
    <t>cos09</t>
  </si>
  <si>
    <t>cos10</t>
  </si>
  <si>
    <t>cos11</t>
  </si>
  <si>
    <t>cos12</t>
  </si>
  <si>
    <t>cos13</t>
  </si>
  <si>
    <t>cos14</t>
  </si>
  <si>
    <t>Other Income / Expanses</t>
  </si>
  <si>
    <t>ot</t>
  </si>
  <si>
    <t>oth1</t>
  </si>
  <si>
    <t>oth2</t>
  </si>
  <si>
    <t>oth3</t>
  </si>
  <si>
    <t>oth4</t>
  </si>
  <si>
    <t>oth7</t>
  </si>
  <si>
    <t>oth9</t>
  </si>
  <si>
    <t>Wf1</t>
  </si>
  <si>
    <t>Wf4</t>
  </si>
  <si>
    <t>Wf5</t>
  </si>
  <si>
    <t>Wf6</t>
  </si>
  <si>
    <t>Wf8</t>
  </si>
  <si>
    <t>Wf9</t>
  </si>
  <si>
    <t>Nt</t>
  </si>
  <si>
    <t>Ntw1</t>
  </si>
  <si>
    <t>Ntw3</t>
  </si>
  <si>
    <t>Ntw4</t>
  </si>
  <si>
    <t>Ntw6</t>
  </si>
  <si>
    <t>Ntw7</t>
  </si>
  <si>
    <t>Interest Income / Expenses</t>
  </si>
  <si>
    <t>In</t>
  </si>
  <si>
    <t>Int2</t>
  </si>
  <si>
    <t>Int4</t>
  </si>
  <si>
    <t>Extraordinary Income / Expenses</t>
  </si>
  <si>
    <t>Ex</t>
  </si>
  <si>
    <t>Ext1</t>
  </si>
  <si>
    <t>-  Depreciation of Ipo</t>
  </si>
  <si>
    <t>Ext2</t>
  </si>
  <si>
    <t>-  Depreciation of new acquisitions</t>
  </si>
  <si>
    <t>Ext3</t>
  </si>
  <si>
    <t>-  Other miscellaneous income / (expense)</t>
  </si>
  <si>
    <t>Ext4</t>
  </si>
  <si>
    <t>-  Minority interests</t>
  </si>
  <si>
    <t>Taxes</t>
  </si>
  <si>
    <t>Tx</t>
  </si>
  <si>
    <t>Txs</t>
  </si>
  <si>
    <t>Inv</t>
  </si>
  <si>
    <t>Debtors</t>
  </si>
  <si>
    <t>Db1</t>
  </si>
  <si>
    <t>Gross trade Receivables</t>
  </si>
  <si>
    <t>Db2</t>
  </si>
  <si>
    <t>Provision for doubtful debts</t>
  </si>
  <si>
    <t>Db3</t>
  </si>
  <si>
    <t>Other Debtors (incl. VAT)</t>
  </si>
  <si>
    <t>Db4</t>
  </si>
  <si>
    <t>Accrued income</t>
  </si>
  <si>
    <t>Db5</t>
  </si>
  <si>
    <t>Prepayments</t>
  </si>
  <si>
    <t>Db6</t>
  </si>
  <si>
    <t>Intercompany Debtors</t>
  </si>
  <si>
    <t>Amounts falling due within 1 year (current liabilities)</t>
  </si>
  <si>
    <t>Cr1</t>
  </si>
  <si>
    <t>Trade Creditors (Payable)</t>
  </si>
  <si>
    <t>Cr2</t>
  </si>
  <si>
    <t>Total Corporation Taxes</t>
  </si>
  <si>
    <t>Cr3</t>
  </si>
  <si>
    <t>Other Taxation and social security</t>
  </si>
  <si>
    <t>Cr4</t>
  </si>
  <si>
    <t>Cr5</t>
  </si>
  <si>
    <t>Cr6</t>
  </si>
  <si>
    <t>Intragroup creditors</t>
  </si>
  <si>
    <t>Assets</t>
  </si>
  <si>
    <t>At1</t>
  </si>
  <si>
    <t>At2</t>
  </si>
  <si>
    <t>Ai3</t>
  </si>
  <si>
    <t>Ai4</t>
  </si>
  <si>
    <t>Af5</t>
  </si>
  <si>
    <t>Long Term Assets/Liabilities</t>
  </si>
  <si>
    <t>Amounts falling due after more than 1 year</t>
  </si>
  <si>
    <t>Ltcr1</t>
  </si>
  <si>
    <t>Other Creditors (Rome lease)</t>
  </si>
  <si>
    <t>Ltcr2</t>
  </si>
  <si>
    <t>Other long term liabilities (staff leaving indemnity)</t>
  </si>
  <si>
    <t>Csh</t>
  </si>
  <si>
    <t>Shareholders' Equity</t>
  </si>
  <si>
    <t>Sh1</t>
  </si>
  <si>
    <t>Sh2</t>
  </si>
  <si>
    <t>Sh3</t>
  </si>
  <si>
    <t>Sh4</t>
  </si>
  <si>
    <t>Sh5</t>
  </si>
  <si>
    <t>Sh6</t>
  </si>
  <si>
    <t>Sh7</t>
  </si>
  <si>
    <t>YTD</t>
  </si>
  <si>
    <t>MONTHLY</t>
  </si>
  <si>
    <t>SCEGLI</t>
  </si>
  <si>
    <t>Bdgt</t>
  </si>
  <si>
    <t>ntw1</t>
  </si>
  <si>
    <t>ntw3</t>
  </si>
  <si>
    <t>ntw4</t>
  </si>
  <si>
    <t>ntw6</t>
  </si>
  <si>
    <t>ntw7</t>
  </si>
  <si>
    <t>wf1</t>
  </si>
  <si>
    <t>wf4</t>
  </si>
  <si>
    <t>wf5</t>
  </si>
  <si>
    <t>wf6</t>
  </si>
  <si>
    <t>wf8</t>
  </si>
  <si>
    <t>wf9</t>
  </si>
  <si>
    <t>Mese ---&gt;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</si>
  <si>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</si>
  <si>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</si>
  <si>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</si>
  <si>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</si>
  <si>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</si>
  <si>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</si>
  <si>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</si>
  <si>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</si>
  <si>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</si>
  <si>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</si>
  <si>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</si>
  <si>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</si>
  <si>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Anno ---&gt;</t>
  </si>
  <si>
    <t>Ot</t>
  </si>
  <si>
    <t>OTHER</t>
  </si>
  <si>
    <t>OPEX | OPEX | OPEX | OPEX | OPEX | OPEX | OPEX | OPEX | OPEX</t>
  </si>
  <si>
    <t>COS</t>
  </si>
  <si>
    <t>Co</t>
  </si>
  <si>
    <t>Dep1</t>
  </si>
  <si>
    <t>Dep2</t>
  </si>
  <si>
    <t>Dep3</t>
  </si>
  <si>
    <t>Lab</t>
  </si>
  <si>
    <t>Stf</t>
  </si>
  <si>
    <t>Con</t>
  </si>
  <si>
    <t>Adv</t>
  </si>
  <si>
    <t>G&amp;a</t>
  </si>
  <si>
    <t>Acr</t>
  </si>
  <si>
    <t>TOTAL FIXED ASSETS</t>
  </si>
  <si>
    <t>TOTAL LONG TERM ASSETS/LIABILITIES</t>
  </si>
  <si>
    <t>TOTAL SHAREHOLDER'S EQUITY</t>
  </si>
  <si>
    <t>Delta</t>
  </si>
  <si>
    <t>BORROWING / (CASH)</t>
  </si>
  <si>
    <t>Balance Sheet Summary</t>
  </si>
  <si>
    <t>Mi</t>
  </si>
  <si>
    <t>ot2</t>
  </si>
  <si>
    <t>Dep1a</t>
  </si>
  <si>
    <t>EBIT before IPO, Goodwill Amort.</t>
  </si>
  <si>
    <t>ACTUAL vs PRIOR YEAR</t>
  </si>
  <si>
    <t>PRIOR YEAR</t>
  </si>
  <si>
    <t>x</t>
  </si>
  <si>
    <t>Amounts falling due within 1 yr (cur. liabilities)</t>
  </si>
  <si>
    <t>BALANCE SHEET</t>
  </si>
  <si>
    <t>Net Tangible Fixed Assets</t>
  </si>
  <si>
    <t>Net Intangible Fixed Assets</t>
  </si>
  <si>
    <t>Net Trade Recivables</t>
  </si>
  <si>
    <t>Cash Flow Summary</t>
  </si>
  <si>
    <t>ACTYTD</t>
  </si>
  <si>
    <t>BDGYTD</t>
  </si>
  <si>
    <t>NET CASH ABSORBED IN OPERATIONS (A)</t>
  </si>
  <si>
    <t>CHANGES IN WORKING CAPITAL (B)</t>
  </si>
  <si>
    <t>CASH FLOW FROM OPERATING ACTIVITIES (A+B)</t>
  </si>
  <si>
    <t>CASH OUTFLOW FROM INVESTING ACTIVITIES (C)</t>
  </si>
  <si>
    <t>NET CASH INFLOW/ (OUTFLOW) BEFORE FINANCING (A+B+C)</t>
  </si>
  <si>
    <t>- All Reserves</t>
  </si>
  <si>
    <t>CASH INFLOW FROM FINANCING ACTIVITIES (D)</t>
  </si>
  <si>
    <t>TOTAL NET CASH FLOW (A+B+C+D)</t>
  </si>
  <si>
    <t>Prior YR</t>
  </si>
  <si>
    <t>EBITDA</t>
  </si>
  <si>
    <t>EBIT</t>
  </si>
  <si>
    <t>EBT</t>
  </si>
  <si>
    <t>opex01</t>
  </si>
  <si>
    <t>opex02</t>
  </si>
  <si>
    <t>opex03</t>
  </si>
  <si>
    <t>opex04</t>
  </si>
  <si>
    <t>opex05</t>
  </si>
  <si>
    <t>opex06</t>
  </si>
  <si>
    <t>opex07</t>
  </si>
  <si>
    <t>opex08</t>
  </si>
  <si>
    <t>opex09</t>
  </si>
  <si>
    <t>DEPRECIATION AND AMORTIZATION</t>
  </si>
  <si>
    <t>PRIOR MONTH</t>
  </si>
  <si>
    <t>ytd</t>
  </si>
  <si>
    <t>Compensation - Controlled Co</t>
  </si>
  <si>
    <t>Leaving Indemnity Provision</t>
  </si>
  <si>
    <t>Recruitment &amp; Training</t>
  </si>
  <si>
    <t>Personnel Fringes</t>
  </si>
  <si>
    <t>Other Costs (Target)</t>
  </si>
  <si>
    <t>Advertising/Press Agency</t>
  </si>
  <si>
    <t>BOD &amp; Audit</t>
  </si>
  <si>
    <t>Internal and External Audits</t>
  </si>
  <si>
    <t xml:space="preserve">Legal &amp; Social </t>
  </si>
  <si>
    <t>Notary &amp; Social Expenses</t>
  </si>
  <si>
    <t>Postage/Courier</t>
  </si>
  <si>
    <t>Office Supplies / Stationery</t>
  </si>
  <si>
    <t>Reception/Pick Up Service</t>
  </si>
  <si>
    <t>Other Utilities</t>
  </si>
  <si>
    <t>Inventory Increase(Decrease)</t>
  </si>
  <si>
    <t>Services Controlled Co</t>
  </si>
  <si>
    <t>Depreciation of goodwill</t>
  </si>
  <si>
    <t>Provision For Doubtful Debts - A/R Write Off</t>
  </si>
  <si>
    <t>Depreciation of start up costs, Cap. Stock Increase</t>
  </si>
  <si>
    <t>Taxes (non-income)</t>
  </si>
  <si>
    <t>Extraordinary Expenses</t>
  </si>
  <si>
    <t>Other Expenses</t>
  </si>
  <si>
    <t>Bank Expenses</t>
  </si>
  <si>
    <t>Other Income (Expense)</t>
  </si>
  <si>
    <t>Merger &amp; Acquisition</t>
  </si>
  <si>
    <t>Materials Mktg</t>
  </si>
  <si>
    <t>Total Bod &amp; Audit</t>
  </si>
  <si>
    <t>Total Social &amp; Legal</t>
  </si>
  <si>
    <t>Translations/Subscriptions</t>
  </si>
  <si>
    <t>TOTAL FINANCIAL INCOME / (EXPENSES)</t>
  </si>
  <si>
    <t>Depreciation of Ipo</t>
  </si>
  <si>
    <t>Depreciation of new acquisitions</t>
  </si>
  <si>
    <t>Minority Interests</t>
  </si>
  <si>
    <t>TOTAL EXTRAORDINARY INCOME / (EXPENSES)</t>
  </si>
  <si>
    <t>P&amp;L</t>
  </si>
  <si>
    <t>AT</t>
  </si>
  <si>
    <t>ai</t>
  </si>
  <si>
    <t>FIN&amp;EXT</t>
  </si>
  <si>
    <t>BS</t>
  </si>
  <si>
    <t>Well HARD ON</t>
  </si>
  <si>
    <t>Op.Hop Inc</t>
  </si>
  <si>
    <t>TOTAL Hard ON COSTS</t>
  </si>
  <si>
    <t>Hopops Costs</t>
  </si>
  <si>
    <t>Year to date</t>
  </si>
  <si>
    <t>Well hard-ON</t>
  </si>
  <si>
    <t>Meals</t>
  </si>
  <si>
    <t>Other Costs</t>
  </si>
  <si>
    <t>Depreciation on Production Machines</t>
  </si>
  <si>
    <t>COS Controlled Companies</t>
  </si>
  <si>
    <t>Product A Cos</t>
  </si>
  <si>
    <t>Product B Cos</t>
  </si>
  <si>
    <t>Product C Cos</t>
  </si>
  <si>
    <t>Product D Cos</t>
  </si>
  <si>
    <t>Agencies commissions</t>
  </si>
  <si>
    <t>Third Parties' commissions</t>
  </si>
  <si>
    <t>Production COS</t>
  </si>
  <si>
    <t>Services COS</t>
  </si>
  <si>
    <t>Service A Cos</t>
  </si>
  <si>
    <t>Service B Cos</t>
  </si>
  <si>
    <t>Utilities</t>
  </si>
  <si>
    <t>Depreciation Hopops</t>
  </si>
  <si>
    <t>Depreciation on Network</t>
  </si>
  <si>
    <t>Research and Development</t>
  </si>
  <si>
    <t>Depreciation of R&amp;D Equipment</t>
  </si>
  <si>
    <t>Depreciation of R&amp;D Printers</t>
  </si>
  <si>
    <t>Association Funding</t>
  </si>
  <si>
    <t>Studies &amp; Reports</t>
  </si>
  <si>
    <t>Headquarter Fees</t>
  </si>
  <si>
    <t>Hopops</t>
  </si>
  <si>
    <t>TOTAL COST OF R&amp;D</t>
  </si>
  <si>
    <t>R&amp;D</t>
  </si>
  <si>
    <t>Month BEF</t>
  </si>
  <si>
    <t>Other Creditors</t>
  </si>
  <si>
    <t>Interest  &amp; Extraordinary Income</t>
  </si>
  <si>
    <t>Research &amp; Development</t>
  </si>
  <si>
    <t>Financial Highlights</t>
  </si>
  <si>
    <t>Gross Margin</t>
  </si>
  <si>
    <t>Ebit</t>
  </si>
  <si>
    <t>Net Profit</t>
  </si>
  <si>
    <t>Operating Cash Flow</t>
  </si>
  <si>
    <t>Month</t>
  </si>
  <si>
    <t>Investments Cash Flow</t>
  </si>
  <si>
    <t>Financing Cash Flow</t>
  </si>
  <si>
    <t>Total Cash Flow</t>
  </si>
  <si>
    <t>Return on Equity (ROE)</t>
  </si>
  <si>
    <t>Return on Investment (ROI)</t>
  </si>
  <si>
    <t>Return on Sales (ROS)</t>
  </si>
  <si>
    <t>Economic Flow</t>
  </si>
  <si>
    <t>Financial Flow</t>
  </si>
  <si>
    <t>Key Ratios</t>
  </si>
  <si>
    <t>Cod1</t>
  </si>
  <si>
    <t>Cod2</t>
  </si>
  <si>
    <t>PRIOR YEAR END</t>
  </si>
  <si>
    <t>PR. YEAR Same Month</t>
  </si>
  <si>
    <t>La spiegazione del modello si trova nel testo: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</si>
</sst>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9" formatCode="_-* #,##0_-;\-* #,##0_-;_-* &quot;-&quot;_-;_-@_-"/>
    <numFmt numFmtId="171" formatCode="_-* #,##0.00_-;\-* #,##0.00_-;_-* &quot;-&quot;??_-;_-@_-"/>
    <numFmt numFmtId="174" formatCode="\+0.0%_);[Red]\(0.0%\)"/>
    <numFmt numFmtId="175" formatCode="#,##0;[Red]\(#,##0\)"/>
    <numFmt numFmtId="176" formatCode="#,##0;\(#,##0\)"/>
    <numFmt numFmtId="177" formatCode="#,##0_);[Red]\(#,##0\)"/>
    <numFmt numFmtId="178" formatCode="0.0%;[Red]\(0.0%\)"/>
    <numFmt numFmtId="179" formatCode="_-* #,##0.00_-;\-* #,##0.00_-;_-* &quot;-&quot;_-;_-@_-"/>
    <numFmt numFmtId="180" formatCode="0.0%"/>
    <numFmt numFmtId="181" formatCode="#,##0.0_);[Red]\(#,##0.0\)"/>
    <numFmt numFmtId="182" formatCode="#,##0.00;[Red]\(#,##0.00\)"/>
    <numFmt numFmtId="183" formatCode="#,##0.000;[Red]\(#,##0.000\)"/>
    <numFmt numFmtId="184" formatCode="_-* #,##0_-;\-* #,##0_-;_-* &quot;-&quot;??_-;_-@_-"/>
  </numFmts>
  <fonts count="4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u/>
      <sz val="10"/>
      <name val="Tahoma"/>
      <family val="2"/>
    </font>
    <font>
      <b/>
      <sz val="10"/>
      <color indexed="0"/>
      <name val="Tahoma"/>
      <family val="2"/>
    </font>
    <font>
      <sz val="10"/>
      <color indexed="0"/>
      <name val="Tahoma"/>
      <family val="2"/>
    </font>
    <font>
      <sz val="10"/>
      <name val="Tahom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rebuchet MS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b/>
      <sz val="12"/>
      <name val="Trebuchet MS"/>
      <family val="2"/>
    </font>
    <font>
      <i/>
      <sz val="12"/>
      <name val="Trebuchet MS"/>
      <family val="2"/>
    </font>
    <font>
      <b/>
      <i/>
      <sz val="12"/>
      <name val="Trebuchet MS"/>
      <family val="2"/>
    </font>
    <font>
      <b/>
      <i/>
      <sz val="10"/>
      <name val="Trebuchet MS"/>
      <family val="2"/>
    </font>
    <font>
      <i/>
      <sz val="10"/>
      <name val="Trebuchet MS"/>
      <family val="2"/>
    </font>
    <font>
      <sz val="14"/>
      <name val="Trebuchet MS"/>
      <family val="2"/>
    </font>
    <font>
      <sz val="25"/>
      <name val="Trebuchet MS"/>
      <family val="2"/>
    </font>
    <font>
      <b/>
      <sz val="25"/>
      <name val="Trebuchet MS"/>
      <family val="2"/>
    </font>
    <font>
      <sz val="25"/>
      <color indexed="12"/>
      <name val="Trebuchet MS"/>
      <family val="2"/>
    </font>
    <font>
      <b/>
      <sz val="20"/>
      <name val="Trebuchet MS"/>
      <family val="2"/>
    </font>
    <font>
      <i/>
      <sz val="20"/>
      <color indexed="9"/>
      <name val="Trebuchet MS"/>
      <family val="2"/>
    </font>
    <font>
      <i/>
      <sz val="25"/>
      <color indexed="22"/>
      <name val="Arial"/>
      <family val="2"/>
    </font>
    <font>
      <sz val="10"/>
      <color indexed="9"/>
      <name val="Trebuchet MS"/>
      <family val="2"/>
    </font>
    <font>
      <b/>
      <sz val="14"/>
      <color indexed="9"/>
      <name val="Trebuchet MS"/>
      <family val="2"/>
    </font>
    <font>
      <sz val="10"/>
      <color indexed="12"/>
      <name val="Trebuchet MS"/>
      <family val="2"/>
    </font>
    <font>
      <b/>
      <sz val="10"/>
      <color indexed="62"/>
      <name val="Arial"/>
      <family val="2"/>
    </font>
    <font>
      <sz val="15"/>
      <name val="Trebuchet MS"/>
      <family val="2"/>
    </font>
    <font>
      <b/>
      <sz val="15"/>
      <name val="Trebuchet MS"/>
      <family val="2"/>
    </font>
    <font>
      <sz val="12"/>
      <name val="Trebuchet MS"/>
      <family val="2"/>
    </font>
    <font>
      <sz val="10"/>
      <name val="Trebuchet MS"/>
      <family val="2"/>
    </font>
    <font>
      <sz val="8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7" fillId="0" borderId="0"/>
    <xf numFmtId="0" fontId="47" fillId="0" borderId="0"/>
    <xf numFmtId="9" fontId="1" fillId="0" borderId="0" applyFont="0" applyFill="0" applyBorder="0" applyAlignment="0" applyProtection="0"/>
  </cellStyleXfs>
  <cellXfs count="5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4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6" xfId="0" applyFont="1" applyFill="1" applyBorder="1"/>
    <xf numFmtId="0" fontId="8" fillId="0" borderId="7" xfId="0" applyFont="1" applyFill="1" applyBorder="1"/>
    <xf numFmtId="0" fontId="7" fillId="0" borderId="8" xfId="0" applyFont="1" applyFill="1" applyBorder="1"/>
    <xf numFmtId="0" fontId="8" fillId="0" borderId="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6" xfId="0" quotePrefix="1" applyFont="1" applyFill="1" applyBorder="1" applyAlignment="1">
      <alignment horizontal="left"/>
    </xf>
    <xf numFmtId="0" fontId="7" fillId="0" borderId="9" xfId="0" applyFont="1" applyFill="1" applyBorder="1"/>
    <xf numFmtId="0" fontId="7" fillId="0" borderId="0" xfId="0" applyFont="1" applyFill="1" applyBorder="1"/>
    <xf numFmtId="0" fontId="8" fillId="0" borderId="10" xfId="0" applyFont="1" applyFill="1" applyBorder="1"/>
    <xf numFmtId="0" fontId="5" fillId="0" borderId="7" xfId="0" applyFont="1" applyFill="1" applyBorder="1" applyAlignment="1">
      <alignment horizontal="left" indent="3"/>
    </xf>
    <xf numFmtId="0" fontId="7" fillId="0" borderId="11" xfId="0" applyFont="1" applyBorder="1"/>
    <xf numFmtId="0" fontId="7" fillId="0" borderId="7" xfId="0" applyFont="1" applyFill="1" applyBorder="1"/>
    <xf numFmtId="0" fontId="7" fillId="0" borderId="7" xfId="0" quotePrefix="1" applyFont="1" applyFill="1" applyBorder="1" applyAlignment="1">
      <alignment horizontal="center"/>
    </xf>
    <xf numFmtId="0" fontId="7" fillId="0" borderId="12" xfId="0" applyNumberFormat="1" applyFont="1" applyFill="1" applyBorder="1" applyAlignment="1"/>
    <xf numFmtId="175" fontId="8" fillId="0" borderId="13" xfId="0" applyNumberFormat="1" applyFont="1" applyFill="1" applyBorder="1" applyAlignment="1"/>
    <xf numFmtId="0" fontId="9" fillId="0" borderId="14" xfId="0" applyNumberFormat="1" applyFont="1" applyFill="1" applyBorder="1" applyAlignment="1">
      <alignment horizontal="left"/>
    </xf>
    <xf numFmtId="175" fontId="8" fillId="0" borderId="15" xfId="0" applyNumberFormat="1" applyFont="1" applyFill="1" applyBorder="1" applyAlignment="1"/>
    <xf numFmtId="0" fontId="9" fillId="0" borderId="4" xfId="0" applyNumberFormat="1" applyFont="1" applyFill="1" applyBorder="1" applyAlignment="1">
      <alignment horizontal="left"/>
    </xf>
    <xf numFmtId="175" fontId="8" fillId="0" borderId="5" xfId="0" applyNumberFormat="1" applyFont="1" applyFill="1" applyBorder="1" applyAlignment="1"/>
    <xf numFmtId="0" fontId="8" fillId="0" borderId="4" xfId="0" applyNumberFormat="1" applyFont="1" applyFill="1" applyBorder="1" applyAlignment="1"/>
    <xf numFmtId="0" fontId="7" fillId="0" borderId="16" xfId="0" applyNumberFormat="1" applyFont="1" applyFill="1" applyBorder="1" applyAlignment="1">
      <alignment horizontal="left"/>
    </xf>
    <xf numFmtId="175" fontId="8" fillId="0" borderId="17" xfId="0" applyNumberFormat="1" applyFont="1" applyFill="1" applyBorder="1" applyAlignment="1"/>
    <xf numFmtId="175" fontId="8" fillId="0" borderId="0" xfId="0" applyNumberFormat="1" applyFont="1" applyFill="1" applyBorder="1" applyAlignment="1"/>
    <xf numFmtId="0" fontId="9" fillId="0" borderId="1" xfId="0" applyNumberFormat="1" applyFont="1" applyFill="1" applyBorder="1" applyAlignment="1"/>
    <xf numFmtId="175" fontId="8" fillId="0" borderId="3" xfId="0" applyNumberFormat="1" applyFont="1" applyFill="1" applyBorder="1" applyAlignment="1"/>
    <xf numFmtId="175" fontId="8" fillId="0" borderId="5" xfId="0" applyNumberFormat="1" applyFont="1" applyFill="1" applyBorder="1" applyAlignment="1">
      <alignment horizontal="center"/>
    </xf>
    <xf numFmtId="0" fontId="8" fillId="0" borderId="4" xfId="0" quotePrefix="1" applyNumberFormat="1" applyFont="1" applyFill="1" applyBorder="1" applyAlignment="1">
      <alignment horizontal="left"/>
    </xf>
    <xf numFmtId="0" fontId="8" fillId="0" borderId="4" xfId="0" quotePrefix="1" applyNumberFormat="1" applyFont="1" applyFill="1" applyBorder="1" applyAlignment="1"/>
    <xf numFmtId="0" fontId="7" fillId="0" borderId="16" xfId="0" applyNumberFormat="1" applyFont="1" applyFill="1" applyBorder="1" applyAlignment="1"/>
    <xf numFmtId="175" fontId="8" fillId="0" borderId="17" xfId="0" applyNumberFormat="1" applyFont="1" applyFill="1" applyBorder="1" applyAlignment="1">
      <alignment horizontal="center"/>
    </xf>
    <xf numFmtId="175" fontId="8" fillId="0" borderId="0" xfId="0" applyNumberFormat="1" applyFont="1" applyFill="1" applyBorder="1" applyAlignment="1">
      <alignment horizontal="center"/>
    </xf>
    <xf numFmtId="0" fontId="7" fillId="0" borderId="18" xfId="0" applyNumberFormat="1" applyFont="1" applyFill="1" applyBorder="1" applyAlignment="1"/>
    <xf numFmtId="175" fontId="8" fillId="0" borderId="19" xfId="0" applyNumberFormat="1" applyFont="1" applyFill="1" applyBorder="1" applyAlignment="1">
      <alignment horizontal="center"/>
    </xf>
    <xf numFmtId="175" fontId="8" fillId="0" borderId="3" xfId="0" applyNumberFormat="1" applyFont="1" applyFill="1" applyBorder="1" applyAlignment="1">
      <alignment horizontal="center"/>
    </xf>
    <xf numFmtId="175" fontId="7" fillId="0" borderId="5" xfId="0" applyNumberFormat="1" applyFont="1" applyFill="1" applyBorder="1" applyAlignment="1">
      <alignment horizontal="center"/>
    </xf>
    <xf numFmtId="0" fontId="7" fillId="0" borderId="20" xfId="0" applyNumberFormat="1" applyFont="1" applyFill="1" applyBorder="1" applyAlignment="1"/>
    <xf numFmtId="175" fontId="8" fillId="0" borderId="2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left"/>
    </xf>
    <xf numFmtId="0" fontId="7" fillId="0" borderId="4" xfId="0" applyNumberFormat="1" applyFont="1" applyFill="1" applyBorder="1" applyAlignment="1"/>
    <xf numFmtId="176" fontId="10" fillId="0" borderId="7" xfId="0" applyNumberFormat="1" applyFont="1" applyFill="1" applyBorder="1" applyAlignment="1">
      <alignment horizontal="center" vertical="center" wrapText="1"/>
    </xf>
    <xf numFmtId="0" fontId="1" fillId="0" borderId="22" xfId="0" quotePrefix="1" applyFont="1" applyFill="1" applyBorder="1" applyAlignment="1">
      <alignment horizontal="left" vertical="center" wrapText="1"/>
    </xf>
    <xf numFmtId="0" fontId="1" fillId="0" borderId="22" xfId="0" quotePrefix="1" applyFont="1" applyFill="1" applyBorder="1" applyAlignment="1">
      <alignment horizontal="left" vertical="center"/>
    </xf>
    <xf numFmtId="0" fontId="2" fillId="0" borderId="22" xfId="0" quotePrefix="1" applyFont="1" applyFill="1" applyBorder="1" applyAlignment="1">
      <alignment horizontal="left" vertical="center"/>
    </xf>
    <xf numFmtId="0" fontId="2" fillId="0" borderId="22" xfId="0" quotePrefix="1" applyFont="1" applyFill="1" applyBorder="1" applyAlignment="1">
      <alignment horizontal="left" vertical="center" wrapText="1"/>
    </xf>
    <xf numFmtId="0" fontId="1" fillId="0" borderId="23" xfId="0" quotePrefix="1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/>
    </xf>
    <xf numFmtId="0" fontId="8" fillId="0" borderId="22" xfId="0" applyFont="1" applyFill="1" applyBorder="1"/>
    <xf numFmtId="0" fontId="7" fillId="0" borderId="10" xfId="0" applyFont="1" applyFill="1" applyBorder="1"/>
    <xf numFmtId="0" fontId="8" fillId="0" borderId="8" xfId="0" applyFont="1" applyFill="1" applyBorder="1"/>
    <xf numFmtId="0" fontId="7" fillId="0" borderId="11" xfId="0" applyFont="1" applyFill="1" applyBorder="1"/>
    <xf numFmtId="177" fontId="8" fillId="0" borderId="22" xfId="0" applyNumberFormat="1" applyFont="1" applyFill="1" applyBorder="1"/>
    <xf numFmtId="177" fontId="8" fillId="0" borderId="7" xfId="0" applyNumberFormat="1" applyFont="1" applyFill="1" applyBorder="1"/>
    <xf numFmtId="177" fontId="7" fillId="0" borderId="7" xfId="0" applyNumberFormat="1" applyFont="1" applyFill="1" applyBorder="1"/>
    <xf numFmtId="0" fontId="7" fillId="0" borderId="25" xfId="0" applyFont="1" applyFill="1" applyBorder="1"/>
    <xf numFmtId="0" fontId="7" fillId="0" borderId="6" xfId="0" applyFont="1" applyFill="1" applyBorder="1" applyAlignment="1">
      <alignment horizontal="center"/>
    </xf>
    <xf numFmtId="177" fontId="11" fillId="0" borderId="7" xfId="0" applyNumberFormat="1" applyFont="1" applyFill="1" applyBorder="1"/>
    <xf numFmtId="177" fontId="11" fillId="0" borderId="26" xfId="0" applyNumberFormat="1" applyFont="1" applyFill="1" applyBorder="1"/>
    <xf numFmtId="177" fontId="8" fillId="0" borderId="8" xfId="0" applyNumberFormat="1" applyFont="1" applyFill="1" applyBorder="1"/>
    <xf numFmtId="177" fontId="11" fillId="0" borderId="27" xfId="0" applyNumberFormat="1" applyFont="1" applyFill="1" applyBorder="1"/>
    <xf numFmtId="0" fontId="7" fillId="0" borderId="22" xfId="0" applyFont="1" applyFill="1" applyBorder="1"/>
    <xf numFmtId="0" fontId="1" fillId="0" borderId="22" xfId="0" quotePrefix="1" applyFont="1" applyFill="1" applyBorder="1" applyAlignment="1">
      <alignment horizontal="left"/>
    </xf>
    <xf numFmtId="0" fontId="1" fillId="0" borderId="7" xfId="0" quotePrefix="1" applyFont="1" applyFill="1" applyBorder="1" applyAlignment="1">
      <alignment horizontal="left"/>
    </xf>
    <xf numFmtId="0" fontId="7" fillId="0" borderId="28" xfId="0" applyFont="1" applyFill="1" applyBorder="1"/>
    <xf numFmtId="0" fontId="7" fillId="2" borderId="18" xfId="0" applyFont="1" applyFill="1" applyBorder="1" applyAlignment="1">
      <alignment horizontal="centerContinuous"/>
    </xf>
    <xf numFmtId="0" fontId="8" fillId="2" borderId="29" xfId="0" applyFont="1" applyFill="1" applyBorder="1" applyAlignment="1">
      <alignment horizontal="centerContinuous"/>
    </xf>
    <xf numFmtId="0" fontId="8" fillId="2" borderId="19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7" fillId="0" borderId="19" xfId="0" applyFont="1" applyBorder="1" applyAlignment="1">
      <alignment horizontal="centerContinuous"/>
    </xf>
    <xf numFmtId="0" fontId="7" fillId="0" borderId="18" xfId="0" applyFont="1" applyBorder="1" applyAlignment="1">
      <alignment horizontal="centerContinuous"/>
    </xf>
    <xf numFmtId="0" fontId="7" fillId="0" borderId="2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77" fontId="7" fillId="0" borderId="29" xfId="0" applyNumberFormat="1" applyFont="1" applyBorder="1"/>
    <xf numFmtId="0" fontId="0" fillId="0" borderId="11" xfId="0" applyBorder="1"/>
    <xf numFmtId="0" fontId="0" fillId="0" borderId="7" xfId="0" applyBorder="1"/>
    <xf numFmtId="0" fontId="7" fillId="0" borderId="7" xfId="0" applyFont="1" applyFill="1" applyBorder="1" applyAlignment="1">
      <alignment horizontal="center" vertical="center"/>
    </xf>
    <xf numFmtId="0" fontId="12" fillId="0" borderId="0" xfId="0" applyFont="1" applyBorder="1"/>
    <xf numFmtId="0" fontId="13" fillId="0" borderId="0" xfId="0" applyFont="1" applyBorder="1" applyAlignment="1">
      <alignment horizontal="center" vertical="center" wrapText="1"/>
    </xf>
    <xf numFmtId="0" fontId="13" fillId="3" borderId="0" xfId="0" applyFont="1" applyFill="1" applyBorder="1"/>
    <xf numFmtId="3" fontId="12" fillId="0" borderId="0" xfId="0" applyNumberFormat="1" applyFont="1" applyFill="1" applyBorder="1" applyAlignment="1">
      <alignment horizontal="left"/>
    </xf>
    <xf numFmtId="3" fontId="12" fillId="0" borderId="0" xfId="0" applyNumberFormat="1" applyFont="1" applyBorder="1"/>
    <xf numFmtId="0" fontId="12" fillId="0" borderId="0" xfId="0" applyFont="1"/>
    <xf numFmtId="177" fontId="12" fillId="0" borderId="0" xfId="0" applyNumberFormat="1" applyFont="1" applyFill="1" applyBorder="1" applyAlignment="1">
      <alignment horizontal="left"/>
    </xf>
    <xf numFmtId="177" fontId="12" fillId="0" borderId="0" xfId="0" applyNumberFormat="1" applyFont="1" applyFill="1" applyBorder="1"/>
    <xf numFmtId="177" fontId="13" fillId="0" borderId="0" xfId="0" applyNumberFormat="1" applyFont="1" applyFill="1" applyBorder="1" applyAlignment="1">
      <alignment horizontal="left"/>
    </xf>
    <xf numFmtId="177" fontId="13" fillId="0" borderId="0" xfId="0" applyNumberFormat="1" applyFont="1" applyFill="1" applyBorder="1"/>
    <xf numFmtId="177" fontId="13" fillId="0" borderId="0" xfId="0" applyNumberFormat="1" applyFont="1" applyFill="1" applyBorder="1" applyAlignment="1" applyProtection="1">
      <alignment horizontal="left"/>
    </xf>
    <xf numFmtId="0" fontId="13" fillId="0" borderId="0" xfId="0" applyFont="1" applyFill="1" applyBorder="1"/>
    <xf numFmtId="177" fontId="14" fillId="0" borderId="0" xfId="0" applyNumberFormat="1" applyFont="1" applyFill="1" applyBorder="1"/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0" quotePrefix="1" applyFont="1" applyFill="1" applyBorder="1" applyAlignment="1">
      <alignment horizontal="left"/>
    </xf>
    <xf numFmtId="0" fontId="12" fillId="0" borderId="0" xfId="0" applyFont="1" applyFill="1" applyBorder="1"/>
    <xf numFmtId="49" fontId="13" fillId="3" borderId="0" xfId="1" applyNumberFormat="1" applyFont="1" applyFill="1" applyBorder="1" applyAlignment="1" applyProtection="1">
      <alignment vertical="top"/>
      <protection locked="0"/>
    </xf>
    <xf numFmtId="49" fontId="12" fillId="0" borderId="0" xfId="1" applyNumberFormat="1" applyFont="1" applyFill="1" applyBorder="1" applyAlignment="1" applyProtection="1">
      <alignment horizontal="left" vertical="top" indent="1"/>
      <protection locked="0"/>
    </xf>
    <xf numFmtId="49" fontId="13" fillId="3" borderId="0" xfId="0" applyNumberFormat="1" applyFont="1" applyFill="1"/>
    <xf numFmtId="49" fontId="15" fillId="3" borderId="0" xfId="1" applyNumberFormat="1" applyFont="1" applyFill="1" applyBorder="1" applyAlignment="1" applyProtection="1">
      <alignment horizontal="left" vertical="top"/>
      <protection locked="0"/>
    </xf>
    <xf numFmtId="49" fontId="16" fillId="0" borderId="0" xfId="1" applyNumberFormat="1" applyFont="1" applyFill="1" applyBorder="1" applyAlignment="1" applyProtection="1">
      <alignment horizontal="left" vertical="top" indent="1"/>
      <protection locked="0"/>
    </xf>
    <xf numFmtId="49" fontId="15" fillId="3" borderId="0" xfId="1" applyNumberFormat="1" applyFont="1" applyFill="1" applyBorder="1" applyAlignment="1" applyProtection="1">
      <alignment horizontal="left" vertical="top" indent="1"/>
      <protection locked="0"/>
    </xf>
    <xf numFmtId="49" fontId="12" fillId="0" borderId="0" xfId="0" applyNumberFormat="1" applyFont="1" applyFill="1"/>
    <xf numFmtId="175" fontId="7" fillId="0" borderId="2" xfId="0" applyNumberFormat="1" applyFont="1" applyFill="1" applyBorder="1" applyAlignment="1">
      <alignment horizontal="center"/>
    </xf>
    <xf numFmtId="17" fontId="7" fillId="0" borderId="0" xfId="0" applyNumberFormat="1" applyFont="1" applyFill="1" applyBorder="1" applyAlignment="1">
      <alignment horizontal="center"/>
    </xf>
    <xf numFmtId="175" fontId="7" fillId="0" borderId="0" xfId="0" applyNumberFormat="1" applyFont="1" applyFill="1" applyBorder="1" applyAlignment="1">
      <alignment horizontal="center"/>
    </xf>
    <xf numFmtId="169" fontId="0" fillId="0" borderId="0" xfId="2" applyFont="1"/>
    <xf numFmtId="0" fontId="7" fillId="0" borderId="1" xfId="0" applyFont="1" applyFill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 applyFill="1"/>
    <xf numFmtId="0" fontId="7" fillId="0" borderId="20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177" fontId="0" fillId="0" borderId="0" xfId="0" applyNumberFormat="1" applyBorder="1"/>
    <xf numFmtId="174" fontId="8" fillId="0" borderId="5" xfId="0" applyNumberFormat="1" applyFont="1" applyFill="1" applyBorder="1" applyAlignment="1">
      <alignment horizontal="center"/>
    </xf>
    <xf numFmtId="177" fontId="0" fillId="0" borderId="31" xfId="0" applyNumberFormat="1" applyBorder="1"/>
    <xf numFmtId="174" fontId="8" fillId="0" borderId="32" xfId="0" applyNumberFormat="1" applyFont="1" applyFill="1" applyBorder="1" applyAlignment="1">
      <alignment horizontal="center"/>
    </xf>
    <xf numFmtId="177" fontId="0" fillId="0" borderId="33" xfId="0" applyNumberFormat="1" applyBorder="1"/>
    <xf numFmtId="174" fontId="8" fillId="0" borderId="34" xfId="0" applyNumberFormat="1" applyFont="1" applyFill="1" applyBorder="1" applyAlignment="1">
      <alignment horizontal="center"/>
    </xf>
    <xf numFmtId="0" fontId="1" fillId="0" borderId="26" xfId="0" quotePrefix="1" applyFont="1" applyFill="1" applyBorder="1" applyAlignment="1">
      <alignment horizontal="left" vertical="center"/>
    </xf>
    <xf numFmtId="0" fontId="7" fillId="0" borderId="28" xfId="0" applyFont="1" applyFill="1" applyBorder="1" applyAlignment="1">
      <alignment vertical="center"/>
    </xf>
    <xf numFmtId="177" fontId="7" fillId="0" borderId="35" xfId="0" applyNumberFormat="1" applyFont="1" applyBorder="1"/>
    <xf numFmtId="174" fontId="7" fillId="0" borderId="17" xfId="0" applyNumberFormat="1" applyFont="1" applyFill="1" applyBorder="1" applyAlignment="1">
      <alignment horizontal="center"/>
    </xf>
    <xf numFmtId="177" fontId="7" fillId="0" borderId="0" xfId="0" applyNumberFormat="1" applyFont="1" applyBorder="1"/>
    <xf numFmtId="174" fontId="7" fillId="0" borderId="5" xfId="0" applyNumberFormat="1" applyFont="1" applyFill="1" applyBorder="1" applyAlignment="1">
      <alignment horizontal="center"/>
    </xf>
    <xf numFmtId="177" fontId="0" fillId="0" borderId="2" xfId="0" applyNumberFormat="1" applyBorder="1"/>
    <xf numFmtId="177" fontId="7" fillId="0" borderId="33" xfId="0" applyNumberFormat="1" applyFont="1" applyBorder="1"/>
    <xf numFmtId="174" fontId="7" fillId="0" borderId="34" xfId="0" applyNumberFormat="1" applyFont="1" applyFill="1" applyBorder="1" applyAlignment="1">
      <alignment horizontal="center"/>
    </xf>
    <xf numFmtId="177" fontId="7" fillId="0" borderId="36" xfId="0" applyNumberFormat="1" applyFont="1" applyBorder="1"/>
    <xf numFmtId="174" fontId="7" fillId="0" borderId="37" xfId="0" applyNumberFormat="1" applyFont="1" applyFill="1" applyBorder="1" applyAlignment="1">
      <alignment horizontal="center"/>
    </xf>
    <xf numFmtId="177" fontId="0" fillId="0" borderId="29" xfId="0" applyNumberFormat="1" applyBorder="1"/>
    <xf numFmtId="174" fontId="8" fillId="0" borderId="19" xfId="0" applyNumberFormat="1" applyFont="1" applyFill="1" applyBorder="1" applyAlignment="1">
      <alignment horizontal="center"/>
    </xf>
    <xf numFmtId="177" fontId="11" fillId="0" borderId="0" xfId="0" applyNumberFormat="1" applyFont="1" applyBorder="1"/>
    <xf numFmtId="174" fontId="11" fillId="0" borderId="5" xfId="0" applyNumberFormat="1" applyFont="1" applyFill="1" applyBorder="1" applyAlignment="1">
      <alignment horizontal="center"/>
    </xf>
    <xf numFmtId="177" fontId="0" fillId="0" borderId="38" xfId="0" applyNumberFormat="1" applyBorder="1"/>
    <xf numFmtId="174" fontId="8" fillId="0" borderId="39" xfId="0" applyNumberFormat="1" applyFont="1" applyFill="1" applyBorder="1" applyAlignment="1">
      <alignment horizontal="center"/>
    </xf>
    <xf numFmtId="177" fontId="7" fillId="0" borderId="31" xfId="0" applyNumberFormat="1" applyFont="1" applyBorder="1"/>
    <xf numFmtId="174" fontId="7" fillId="0" borderId="32" xfId="0" applyNumberFormat="1" applyFont="1" applyFill="1" applyBorder="1" applyAlignment="1">
      <alignment horizontal="center"/>
    </xf>
    <xf numFmtId="177" fontId="7" fillId="0" borderId="40" xfId="0" applyNumberFormat="1" applyFont="1" applyBorder="1"/>
    <xf numFmtId="174" fontId="7" fillId="0" borderId="41" xfId="0" applyNumberFormat="1" applyFont="1" applyFill="1" applyBorder="1" applyAlignment="1">
      <alignment horizontal="center"/>
    </xf>
    <xf numFmtId="177" fontId="0" fillId="0" borderId="42" xfId="0" applyNumberFormat="1" applyBorder="1"/>
    <xf numFmtId="174" fontId="8" fillId="0" borderId="43" xfId="0" applyNumberFormat="1" applyFont="1" applyFill="1" applyBorder="1" applyAlignment="1">
      <alignment horizontal="center"/>
    </xf>
    <xf numFmtId="177" fontId="7" fillId="0" borderId="42" xfId="0" applyNumberFormat="1" applyFont="1" applyBorder="1"/>
    <xf numFmtId="174" fontId="7" fillId="0" borderId="43" xfId="0" applyNumberFormat="1" applyFont="1" applyFill="1" applyBorder="1" applyAlignment="1">
      <alignment horizontal="center"/>
    </xf>
    <xf numFmtId="1" fontId="0" fillId="0" borderId="33" xfId="0" applyNumberFormat="1" applyBorder="1"/>
    <xf numFmtId="169" fontId="7" fillId="0" borderId="42" xfId="0" applyNumberFormat="1" applyFont="1" applyBorder="1"/>
    <xf numFmtId="1" fontId="7" fillId="0" borderId="42" xfId="0" applyNumberFormat="1" applyFont="1" applyBorder="1"/>
    <xf numFmtId="1" fontId="0" fillId="0" borderId="0" xfId="0" applyNumberFormat="1"/>
    <xf numFmtId="169" fontId="0" fillId="0" borderId="0" xfId="2" applyFont="1" applyBorder="1"/>
    <xf numFmtId="177" fontId="0" fillId="0" borderId="4" xfId="0" applyNumberFormat="1" applyBorder="1"/>
    <xf numFmtId="177" fontId="0" fillId="0" borderId="44" xfId="0" applyNumberFormat="1" applyBorder="1"/>
    <xf numFmtId="177" fontId="0" fillId="0" borderId="45" xfId="0" applyNumberFormat="1" applyBorder="1"/>
    <xf numFmtId="177" fontId="0" fillId="0" borderId="0" xfId="2" applyNumberFormat="1" applyFont="1" applyBorder="1"/>
    <xf numFmtId="177" fontId="7" fillId="0" borderId="45" xfId="0" applyNumberFormat="1" applyFont="1" applyBorder="1"/>
    <xf numFmtId="177" fontId="7" fillId="0" borderId="4" xfId="0" applyNumberFormat="1" applyFont="1" applyBorder="1"/>
    <xf numFmtId="177" fontId="7" fillId="0" borderId="46" xfId="0" applyNumberFormat="1" applyFont="1" applyBorder="1"/>
    <xf numFmtId="177" fontId="0" fillId="0" borderId="18" xfId="0" applyNumberFormat="1" applyBorder="1"/>
    <xf numFmtId="177" fontId="11" fillId="0" borderId="4" xfId="0" applyNumberFormat="1" applyFont="1" applyBorder="1"/>
    <xf numFmtId="177" fontId="0" fillId="0" borderId="47" xfId="0" applyNumberFormat="1" applyBorder="1"/>
    <xf numFmtId="177" fontId="7" fillId="0" borderId="44" xfId="0" applyNumberFormat="1" applyFont="1" applyBorder="1"/>
    <xf numFmtId="177" fontId="7" fillId="0" borderId="16" xfId="0" applyNumberFormat="1" applyFont="1" applyBorder="1"/>
    <xf numFmtId="177" fontId="0" fillId="0" borderId="0" xfId="0" applyNumberFormat="1"/>
    <xf numFmtId="177" fontId="7" fillId="0" borderId="18" xfId="0" applyNumberFormat="1" applyFont="1" applyFill="1" applyBorder="1"/>
    <xf numFmtId="177" fontId="8" fillId="2" borderId="29" xfId="0" applyNumberFormat="1" applyFont="1" applyFill="1" applyBorder="1" applyAlignment="1">
      <alignment horizontal="centerContinuous"/>
    </xf>
    <xf numFmtId="177" fontId="8" fillId="0" borderId="0" xfId="0" applyNumberFormat="1" applyFont="1" applyBorder="1" applyAlignment="1">
      <alignment horizontal="centerContinuous"/>
    </xf>
    <xf numFmtId="177" fontId="7" fillId="0" borderId="18" xfId="0" applyNumberFormat="1" applyFont="1" applyBorder="1" applyAlignment="1">
      <alignment horizontal="centerContinuous"/>
    </xf>
    <xf numFmtId="177" fontId="7" fillId="0" borderId="6" xfId="0" applyNumberFormat="1" applyFont="1" applyBorder="1" applyAlignment="1">
      <alignment horizontal="center"/>
    </xf>
    <xf numFmtId="177" fontId="7" fillId="2" borderId="18" xfId="0" applyNumberFormat="1" applyFont="1" applyFill="1" applyBorder="1" applyAlignment="1">
      <alignment horizontal="centerContinuous"/>
    </xf>
    <xf numFmtId="177" fontId="7" fillId="0" borderId="0" xfId="0" applyNumberFormat="1" applyFont="1" applyFill="1" applyBorder="1" applyAlignment="1">
      <alignment horizontal="centerContinuous"/>
    </xf>
    <xf numFmtId="177" fontId="7" fillId="0" borderId="18" xfId="0" applyNumberFormat="1" applyFont="1" applyFill="1" applyBorder="1" applyAlignment="1">
      <alignment horizontal="centerContinuous"/>
    </xf>
    <xf numFmtId="177" fontId="7" fillId="0" borderId="6" xfId="0" applyNumberFormat="1" applyFont="1" applyFill="1" applyBorder="1" applyAlignment="1">
      <alignment horizontal="center"/>
    </xf>
    <xf numFmtId="169" fontId="0" fillId="0" borderId="31" xfId="2" applyFont="1" applyBorder="1"/>
    <xf numFmtId="169" fontId="7" fillId="0" borderId="31" xfId="2" applyFont="1" applyBorder="1"/>
    <xf numFmtId="169" fontId="7" fillId="0" borderId="33" xfId="2" applyFont="1" applyBorder="1"/>
    <xf numFmtId="169" fontId="0" fillId="0" borderId="33" xfId="2" applyFont="1" applyBorder="1"/>
    <xf numFmtId="169" fontId="0" fillId="0" borderId="48" xfId="2" applyFont="1" applyBorder="1"/>
    <xf numFmtId="0" fontId="7" fillId="0" borderId="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177" fontId="7" fillId="0" borderId="18" xfId="0" applyNumberFormat="1" applyFont="1" applyBorder="1"/>
    <xf numFmtId="178" fontId="0" fillId="0" borderId="0" xfId="6" applyNumberFormat="1" applyFont="1"/>
    <xf numFmtId="178" fontId="8" fillId="2" borderId="29" xfId="6" applyNumberFormat="1" applyFont="1" applyFill="1" applyBorder="1" applyAlignment="1">
      <alignment horizontal="centerContinuous"/>
    </xf>
    <xf numFmtId="178" fontId="8" fillId="0" borderId="0" xfId="6" applyNumberFormat="1" applyFont="1" applyBorder="1" applyAlignment="1">
      <alignment horizontal="centerContinuous"/>
    </xf>
    <xf numFmtId="178" fontId="7" fillId="0" borderId="19" xfId="6" applyNumberFormat="1" applyFont="1" applyBorder="1" applyAlignment="1">
      <alignment horizontal="centerContinuous"/>
    </xf>
    <xf numFmtId="178" fontId="7" fillId="0" borderId="21" xfId="6" applyNumberFormat="1" applyFont="1" applyBorder="1" applyAlignment="1">
      <alignment horizontal="center"/>
    </xf>
    <xf numFmtId="178" fontId="7" fillId="0" borderId="49" xfId="6" applyNumberFormat="1" applyFont="1" applyBorder="1" applyAlignment="1">
      <alignment horizontal="center"/>
    </xf>
    <xf numFmtId="178" fontId="8" fillId="2" borderId="19" xfId="6" applyNumberFormat="1" applyFont="1" applyFill="1" applyBorder="1" applyAlignment="1">
      <alignment horizontal="centerContinuous"/>
    </xf>
    <xf numFmtId="178" fontId="7" fillId="0" borderId="19" xfId="6" applyNumberFormat="1" applyFont="1" applyBorder="1" applyAlignment="1">
      <alignment horizontal="center"/>
    </xf>
    <xf numFmtId="178" fontId="0" fillId="0" borderId="0" xfId="0" applyNumberFormat="1"/>
    <xf numFmtId="169" fontId="7" fillId="0" borderId="0" xfId="2" applyFont="1" applyAlignment="1">
      <alignment horizontal="centerContinuous"/>
    </xf>
    <xf numFmtId="169" fontId="7" fillId="0" borderId="0" xfId="2" applyFont="1"/>
    <xf numFmtId="174" fontId="6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177" fontId="0" fillId="0" borderId="0" xfId="0" applyNumberFormat="1" applyAlignment="1">
      <alignment horizontal="centerContinuous"/>
    </xf>
    <xf numFmtId="178" fontId="0" fillId="0" borderId="0" xfId="6" applyNumberFormat="1" applyFont="1" applyAlignment="1">
      <alignment horizontal="centerContinuous"/>
    </xf>
    <xf numFmtId="178" fontId="0" fillId="0" borderId="0" xfId="0" applyNumberFormat="1" applyAlignment="1">
      <alignment horizontal="centerContinuous"/>
    </xf>
    <xf numFmtId="174" fontId="3" fillId="0" borderId="0" xfId="0" applyNumberFormat="1" applyFont="1" applyAlignment="1">
      <alignment horizontal="centerContinuous"/>
    </xf>
    <xf numFmtId="0" fontId="13" fillId="0" borderId="0" xfId="0" applyFont="1" applyBorder="1"/>
    <xf numFmtId="169" fontId="7" fillId="2" borderId="18" xfId="2" applyFont="1" applyFill="1" applyBorder="1" applyAlignment="1">
      <alignment horizontal="centerContinuous"/>
    </xf>
    <xf numFmtId="169" fontId="7" fillId="0" borderId="0" xfId="2" applyFont="1" applyFill="1" applyBorder="1" applyAlignment="1">
      <alignment horizontal="centerContinuous"/>
    </xf>
    <xf numFmtId="169" fontId="7" fillId="0" borderId="18" xfId="2" applyFont="1" applyFill="1" applyBorder="1" applyAlignment="1">
      <alignment horizontal="centerContinuous"/>
    </xf>
    <xf numFmtId="169" fontId="7" fillId="0" borderId="6" xfId="2" applyFont="1" applyFill="1" applyBorder="1" applyAlignment="1">
      <alignment horizontal="center"/>
    </xf>
    <xf numFmtId="0" fontId="8" fillId="0" borderId="0" xfId="0" applyFont="1"/>
    <xf numFmtId="175" fontId="7" fillId="0" borderId="29" xfId="0" applyNumberFormat="1" applyFont="1" applyBorder="1" applyAlignment="1">
      <alignment horizontal="right"/>
    </xf>
    <xf numFmtId="175" fontId="8" fillId="0" borderId="0" xfId="0" applyNumberFormat="1" applyFont="1" applyFill="1" applyBorder="1" applyAlignment="1">
      <alignment horizontal="right"/>
    </xf>
    <xf numFmtId="175" fontId="8" fillId="0" borderId="40" xfId="0" applyNumberFormat="1" applyFont="1" applyFill="1" applyBorder="1" applyAlignment="1">
      <alignment horizontal="right"/>
    </xf>
    <xf numFmtId="175" fontId="5" fillId="0" borderId="0" xfId="0" applyNumberFormat="1" applyFont="1" applyFill="1" applyBorder="1" applyAlignment="1">
      <alignment horizontal="right"/>
    </xf>
    <xf numFmtId="175" fontId="7" fillId="0" borderId="50" xfId="0" applyNumberFormat="1" applyFont="1" applyFill="1" applyBorder="1" applyAlignment="1">
      <alignment horizontal="right"/>
    </xf>
    <xf numFmtId="175" fontId="7" fillId="0" borderId="29" xfId="0" quotePrefix="1" applyNumberFormat="1" applyFont="1" applyFill="1" applyBorder="1" applyAlignment="1">
      <alignment horizontal="right"/>
    </xf>
    <xf numFmtId="175" fontId="7" fillId="0" borderId="29" xfId="0" applyNumberFormat="1" applyFont="1" applyFill="1" applyBorder="1" applyAlignment="1">
      <alignment horizontal="right"/>
    </xf>
    <xf numFmtId="177" fontId="7" fillId="0" borderId="51" xfId="0" applyNumberFormat="1" applyFont="1" applyFill="1" applyBorder="1" applyAlignment="1">
      <alignment horizontal="right"/>
    </xf>
    <xf numFmtId="169" fontId="7" fillId="0" borderId="52" xfId="2" applyFont="1" applyFill="1" applyBorder="1" applyAlignment="1">
      <alignment horizontal="right"/>
    </xf>
    <xf numFmtId="177" fontId="7" fillId="0" borderId="18" xfId="0" applyNumberFormat="1" applyFont="1" applyFill="1" applyBorder="1" applyAlignment="1">
      <alignment horizontal="right"/>
    </xf>
    <xf numFmtId="177" fontId="8" fillId="0" borderId="4" xfId="0" applyNumberFormat="1" applyFont="1" applyFill="1" applyBorder="1" applyAlignment="1">
      <alignment horizontal="right"/>
    </xf>
    <xf numFmtId="177" fontId="5" fillId="0" borderId="4" xfId="0" applyNumberFormat="1" applyFont="1" applyFill="1" applyBorder="1" applyAlignment="1">
      <alignment horizontal="right"/>
    </xf>
    <xf numFmtId="177" fontId="7" fillId="0" borderId="18" xfId="0" quotePrefix="1" applyNumberFormat="1" applyFont="1" applyFill="1" applyBorder="1" applyAlignment="1">
      <alignment horizontal="right"/>
    </xf>
    <xf numFmtId="177" fontId="8" fillId="0" borderId="53" xfId="0" applyNumberFormat="1" applyFont="1" applyFill="1" applyBorder="1" applyAlignment="1">
      <alignment horizontal="right"/>
    </xf>
    <xf numFmtId="177" fontId="5" fillId="0" borderId="53" xfId="0" applyNumberFormat="1" applyFont="1" applyFill="1" applyBorder="1" applyAlignment="1">
      <alignment horizontal="right"/>
    </xf>
    <xf numFmtId="169" fontId="7" fillId="0" borderId="54" xfId="2" applyFont="1" applyFill="1" applyBorder="1" applyAlignment="1">
      <alignment horizontal="right"/>
    </xf>
    <xf numFmtId="177" fontId="7" fillId="0" borderId="51" xfId="0" quotePrefix="1" applyNumberFormat="1" applyFont="1" applyFill="1" applyBorder="1" applyAlignment="1">
      <alignment horizontal="right"/>
    </xf>
    <xf numFmtId="169" fontId="0" fillId="0" borderId="0" xfId="2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78" fontId="8" fillId="0" borderId="5" xfId="0" applyNumberFormat="1" applyFont="1" applyFill="1" applyBorder="1" applyAlignment="1">
      <alignment horizontal="center"/>
    </xf>
    <xf numFmtId="178" fontId="8" fillId="0" borderId="41" xfId="0" applyNumberFormat="1" applyFont="1" applyFill="1" applyBorder="1" applyAlignment="1">
      <alignment horizontal="center"/>
    </xf>
    <xf numFmtId="178" fontId="7" fillId="0" borderId="55" xfId="0" applyNumberFormat="1" applyFont="1" applyFill="1" applyBorder="1" applyAlignment="1">
      <alignment horizontal="center"/>
    </xf>
    <xf numFmtId="178" fontId="7" fillId="0" borderId="19" xfId="0" quotePrefix="1" applyNumberFormat="1" applyFont="1" applyFill="1" applyBorder="1" applyAlignment="1">
      <alignment horizontal="center"/>
    </xf>
    <xf numFmtId="178" fontId="7" fillId="0" borderId="19" xfId="0" applyNumberFormat="1" applyFont="1" applyFill="1" applyBorder="1" applyAlignment="1">
      <alignment horizontal="center"/>
    </xf>
    <xf numFmtId="178" fontId="8" fillId="0" borderId="56" xfId="0" applyNumberFormat="1" applyFont="1" applyFill="1" applyBorder="1" applyAlignment="1">
      <alignment horizontal="center"/>
    </xf>
    <xf numFmtId="178" fontId="8" fillId="0" borderId="57" xfId="0" applyNumberFormat="1" applyFont="1" applyFill="1" applyBorder="1" applyAlignment="1">
      <alignment horizontal="center"/>
    </xf>
    <xf numFmtId="178" fontId="7" fillId="0" borderId="58" xfId="0" applyNumberFormat="1" applyFont="1" applyFill="1" applyBorder="1" applyAlignment="1">
      <alignment horizontal="center"/>
    </xf>
    <xf numFmtId="178" fontId="7" fillId="0" borderId="49" xfId="0" quotePrefix="1" applyNumberFormat="1" applyFont="1" applyFill="1" applyBorder="1" applyAlignment="1">
      <alignment horizontal="center"/>
    </xf>
    <xf numFmtId="178" fontId="7" fillId="0" borderId="49" xfId="0" applyNumberFormat="1" applyFont="1" applyFill="1" applyBorder="1" applyAlignment="1">
      <alignment horizontal="center"/>
    </xf>
    <xf numFmtId="178" fontId="8" fillId="0" borderId="0" xfId="0" applyNumberFormat="1" applyFont="1" applyFill="1" applyBorder="1" applyAlignment="1">
      <alignment horizontal="center"/>
    </xf>
    <xf numFmtId="178" fontId="8" fillId="0" borderId="40" xfId="0" applyNumberFormat="1" applyFont="1" applyFill="1" applyBorder="1" applyAlignment="1">
      <alignment horizontal="center"/>
    </xf>
    <xf numFmtId="178" fontId="7" fillId="0" borderId="50" xfId="0" applyNumberFormat="1" applyFont="1" applyFill="1" applyBorder="1" applyAlignment="1">
      <alignment horizontal="center"/>
    </xf>
    <xf numFmtId="178" fontId="7" fillId="0" borderId="29" xfId="0" quotePrefix="1" applyNumberFormat="1" applyFont="1" applyFill="1" applyBorder="1" applyAlignment="1">
      <alignment horizontal="center"/>
    </xf>
    <xf numFmtId="178" fontId="7" fillId="0" borderId="29" xfId="0" applyNumberFormat="1" applyFont="1" applyFill="1" applyBorder="1" applyAlignment="1">
      <alignment horizontal="center"/>
    </xf>
    <xf numFmtId="0" fontId="8" fillId="0" borderId="0" xfId="0" applyFont="1" applyAlignment="1"/>
    <xf numFmtId="177" fontId="8" fillId="0" borderId="0" xfId="0" applyNumberFormat="1" applyFont="1"/>
    <xf numFmtId="177" fontId="8" fillId="0" borderId="0" xfId="0" applyNumberFormat="1" applyFont="1" applyFill="1" applyBorder="1" applyAlignment="1"/>
    <xf numFmtId="0" fontId="8" fillId="0" borderId="0" xfId="0" applyFont="1" applyBorder="1" applyAlignment="1"/>
    <xf numFmtId="177" fontId="7" fillId="0" borderId="18" xfId="0" applyNumberFormat="1" applyFont="1" applyFill="1" applyBorder="1" applyAlignment="1"/>
    <xf numFmtId="177" fontId="7" fillId="0" borderId="29" xfId="0" applyNumberFormat="1" applyFont="1" applyBorder="1" applyAlignment="1"/>
    <xf numFmtId="0" fontId="8" fillId="0" borderId="0" xfId="0" applyFont="1" applyFill="1" applyAlignment="1"/>
    <xf numFmtId="177" fontId="7" fillId="2" borderId="29" xfId="0" applyNumberFormat="1" applyFont="1" applyFill="1" applyBorder="1" applyAlignment="1"/>
    <xf numFmtId="177" fontId="7" fillId="0" borderId="29" xfId="0" applyNumberFormat="1" applyFont="1" applyFill="1" applyBorder="1" applyAlignment="1"/>
    <xf numFmtId="177" fontId="8" fillId="0" borderId="2" xfId="0" applyNumberFormat="1" applyFont="1" applyFill="1" applyBorder="1" applyAlignment="1"/>
    <xf numFmtId="177" fontId="7" fillId="0" borderId="2" xfId="0" applyNumberFormat="1" applyFont="1" applyFill="1" applyBorder="1" applyAlignment="1"/>
    <xf numFmtId="169" fontId="8" fillId="0" borderId="0" xfId="2" applyFont="1" applyAlignment="1"/>
    <xf numFmtId="169" fontId="7" fillId="0" borderId="59" xfId="2" applyFont="1" applyBorder="1"/>
    <xf numFmtId="169" fontId="0" fillId="0" borderId="4" xfId="2" applyFont="1" applyBorder="1"/>
    <xf numFmtId="169" fontId="0" fillId="0" borderId="45" xfId="2" applyFont="1" applyBorder="1"/>
    <xf numFmtId="169" fontId="0" fillId="0" borderId="44" xfId="2" applyFont="1" applyBorder="1"/>
    <xf numFmtId="169" fontId="7" fillId="0" borderId="60" xfId="2" applyFont="1" applyBorder="1"/>
    <xf numFmtId="169" fontId="7" fillId="0" borderId="16" xfId="2" applyFont="1" applyBorder="1"/>
    <xf numFmtId="169" fontId="7" fillId="0" borderId="1" xfId="2" applyFont="1" applyFill="1" applyBorder="1" applyAlignment="1">
      <alignment horizontal="centerContinuous"/>
    </xf>
    <xf numFmtId="169" fontId="7" fillId="0" borderId="20" xfId="2" applyFont="1" applyFill="1" applyBorder="1" applyAlignment="1">
      <alignment horizontal="center"/>
    </xf>
    <xf numFmtId="169" fontId="0" fillId="0" borderId="1" xfId="2" applyFont="1" applyBorder="1"/>
    <xf numFmtId="169" fontId="7" fillId="0" borderId="44" xfId="2" applyFont="1" applyBorder="1"/>
    <xf numFmtId="169" fontId="7" fillId="0" borderId="45" xfId="2" applyFont="1" applyBorder="1"/>
    <xf numFmtId="169" fontId="8" fillId="0" borderId="0" xfId="2" applyFont="1" applyBorder="1" applyAlignment="1">
      <alignment horizontal="centerContinuous"/>
    </xf>
    <xf numFmtId="177" fontId="8" fillId="0" borderId="1" xfId="0" applyNumberFormat="1" applyFont="1" applyFill="1" applyBorder="1" applyAlignment="1"/>
    <xf numFmtId="0" fontId="8" fillId="0" borderId="4" xfId="0" applyFont="1" applyBorder="1" applyAlignment="1"/>
    <xf numFmtId="177" fontId="8" fillId="0" borderId="4" xfId="0" applyNumberFormat="1" applyFont="1" applyFill="1" applyBorder="1" applyAlignment="1"/>
    <xf numFmtId="177" fontId="7" fillId="0" borderId="1" xfId="0" applyNumberFormat="1" applyFont="1" applyFill="1" applyBorder="1" applyAlignment="1"/>
    <xf numFmtId="177" fontId="7" fillId="2" borderId="18" xfId="0" applyNumberFormat="1" applyFont="1" applyFill="1" applyBorder="1" applyAlignment="1"/>
    <xf numFmtId="177" fontId="7" fillId="0" borderId="18" xfId="0" applyNumberFormat="1" applyFont="1" applyBorder="1" applyAlignment="1"/>
    <xf numFmtId="178" fontId="8" fillId="0" borderId="0" xfId="6" applyNumberFormat="1" applyFont="1" applyAlignment="1">
      <alignment horizontal="center"/>
    </xf>
    <xf numFmtId="178" fontId="8" fillId="0" borderId="3" xfId="6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78" fontId="8" fillId="0" borderId="5" xfId="6" applyNumberFormat="1" applyFont="1" applyBorder="1" applyAlignment="1">
      <alignment horizontal="center"/>
    </xf>
    <xf numFmtId="178" fontId="7" fillId="0" borderId="3" xfId="6" applyNumberFormat="1" applyFont="1" applyBorder="1" applyAlignment="1">
      <alignment horizontal="center"/>
    </xf>
    <xf numFmtId="178" fontId="7" fillId="2" borderId="19" xfId="6" applyNumberFormat="1" applyFont="1" applyFill="1" applyBorder="1" applyAlignment="1">
      <alignment horizontal="center"/>
    </xf>
    <xf numFmtId="178" fontId="8" fillId="0" borderId="61" xfId="6" applyNumberFormat="1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178" fontId="8" fillId="0" borderId="56" xfId="6" applyNumberFormat="1" applyFont="1" applyBorder="1" applyAlignment="1">
      <alignment horizontal="center"/>
    </xf>
    <xf numFmtId="178" fontId="7" fillId="0" borderId="61" xfId="6" applyNumberFormat="1" applyFont="1" applyBorder="1" applyAlignment="1">
      <alignment horizontal="center"/>
    </xf>
    <xf numFmtId="178" fontId="7" fillId="2" borderId="49" xfId="6" applyNumberFormat="1" applyFont="1" applyFill="1" applyBorder="1" applyAlignment="1">
      <alignment horizontal="center"/>
    </xf>
    <xf numFmtId="178" fontId="7" fillId="0" borderId="49" xfId="6" applyNumberFormat="1" applyFont="1" applyFill="1" applyBorder="1" applyAlignment="1">
      <alignment horizontal="center"/>
    </xf>
    <xf numFmtId="178" fontId="7" fillId="0" borderId="19" xfId="6" applyNumberFormat="1" applyFont="1" applyFill="1" applyBorder="1" applyAlignment="1">
      <alignment horizontal="center"/>
    </xf>
    <xf numFmtId="177" fontId="8" fillId="0" borderId="4" xfId="0" applyNumberFormat="1" applyFont="1" applyFill="1" applyBorder="1" applyAlignment="1">
      <alignment horizontal="left" indent="1"/>
    </xf>
    <xf numFmtId="0" fontId="7" fillId="0" borderId="4" xfId="0" applyFont="1" applyBorder="1" applyAlignment="1"/>
    <xf numFmtId="177" fontId="8" fillId="0" borderId="62" xfId="0" applyNumberFormat="1" applyFont="1" applyFill="1" applyBorder="1" applyAlignment="1">
      <alignment horizontal="right"/>
    </xf>
    <xf numFmtId="177" fontId="8" fillId="0" borderId="60" xfId="0" applyNumberFormat="1" applyFont="1" applyFill="1" applyBorder="1" applyAlignment="1">
      <alignment horizontal="right"/>
    </xf>
    <xf numFmtId="178" fontId="7" fillId="0" borderId="19" xfId="6" applyNumberFormat="1" applyFont="1" applyBorder="1" applyAlignment="1">
      <alignment horizontal="right"/>
    </xf>
    <xf numFmtId="178" fontId="0" fillId="0" borderId="5" xfId="6" applyNumberFormat="1" applyFont="1" applyBorder="1" applyAlignment="1">
      <alignment horizontal="right"/>
    </xf>
    <xf numFmtId="169" fontId="1" fillId="0" borderId="0" xfId="2"/>
    <xf numFmtId="169" fontId="1" fillId="0" borderId="0" xfId="2" applyAlignment="1">
      <alignment horizontal="centerContinuous"/>
    </xf>
    <xf numFmtId="178" fontId="7" fillId="0" borderId="0" xfId="6" applyNumberFormat="1" applyFont="1" applyBorder="1" applyAlignment="1">
      <alignment horizontal="center"/>
    </xf>
    <xf numFmtId="178" fontId="8" fillId="0" borderId="0" xfId="6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78" fontId="20" fillId="0" borderId="0" xfId="6" applyNumberFormat="1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7" fillId="0" borderId="4" xfId="0" applyFont="1" applyFill="1" applyBorder="1" applyAlignment="1">
      <alignment horizontal="centerContinuous" vertical="center"/>
    </xf>
    <xf numFmtId="0" fontId="7" fillId="0" borderId="20" xfId="0" applyFont="1" applyFill="1" applyBorder="1" applyAlignment="1">
      <alignment horizontal="centerContinuous"/>
    </xf>
    <xf numFmtId="0" fontId="0" fillId="0" borderId="21" xfId="0" applyBorder="1" applyAlignment="1">
      <alignment horizontal="centerContinuous"/>
    </xf>
    <xf numFmtId="177" fontId="7" fillId="0" borderId="4" xfId="0" applyNumberFormat="1" applyFont="1" applyFill="1" applyBorder="1" applyAlignment="1">
      <alignment horizontal="left"/>
    </xf>
    <xf numFmtId="177" fontId="7" fillId="0" borderId="4" xfId="0" applyNumberFormat="1" applyFont="1" applyFill="1" applyBorder="1" applyAlignment="1"/>
    <xf numFmtId="178" fontId="7" fillId="0" borderId="56" xfId="6" applyNumberFormat="1" applyFont="1" applyBorder="1" applyAlignment="1">
      <alignment horizontal="center"/>
    </xf>
    <xf numFmtId="177" fontId="7" fillId="0" borderId="0" xfId="0" applyNumberFormat="1" applyFont="1" applyFill="1" applyBorder="1" applyAlignment="1"/>
    <xf numFmtId="178" fontId="7" fillId="0" borderId="5" xfId="6" applyNumberFormat="1" applyFont="1" applyBorder="1" applyAlignment="1">
      <alignment horizontal="center"/>
    </xf>
    <xf numFmtId="0" fontId="0" fillId="0" borderId="0" xfId="0" applyBorder="1" applyAlignment="1">
      <alignment horizontal="centerContinuous"/>
    </xf>
    <xf numFmtId="0" fontId="21" fillId="0" borderId="0" xfId="0" applyFont="1" applyBorder="1" applyAlignment="1">
      <alignment horizontal="centerContinuous"/>
    </xf>
    <xf numFmtId="177" fontId="7" fillId="0" borderId="49" xfId="0" applyNumberFormat="1" applyFont="1" applyFill="1" applyBorder="1"/>
    <xf numFmtId="0" fontId="0" fillId="0" borderId="56" xfId="0" applyBorder="1"/>
    <xf numFmtId="177" fontId="0" fillId="0" borderId="56" xfId="0" applyNumberFormat="1" applyBorder="1"/>
    <xf numFmtId="177" fontId="7" fillId="0" borderId="63" xfId="0" applyNumberFormat="1" applyFont="1" applyBorder="1"/>
    <xf numFmtId="178" fontId="7" fillId="0" borderId="63" xfId="6" applyNumberFormat="1" applyFont="1" applyBorder="1" applyAlignment="1">
      <alignment horizontal="right"/>
    </xf>
    <xf numFmtId="0" fontId="0" fillId="0" borderId="61" xfId="0" applyBorder="1"/>
    <xf numFmtId="177" fontId="0" fillId="0" borderId="58" xfId="0" applyNumberFormat="1" applyBorder="1"/>
    <xf numFmtId="177" fontId="0" fillId="0" borderId="50" xfId="0" applyNumberFormat="1" applyBorder="1"/>
    <xf numFmtId="178" fontId="0" fillId="0" borderId="55" xfId="6" applyNumberFormat="1" applyFont="1" applyBorder="1" applyAlignment="1">
      <alignment horizontal="right"/>
    </xf>
    <xf numFmtId="177" fontId="7" fillId="0" borderId="64" xfId="0" applyNumberFormat="1" applyFont="1" applyBorder="1"/>
    <xf numFmtId="177" fontId="7" fillId="0" borderId="30" xfId="0" applyNumberFormat="1" applyFont="1" applyBorder="1"/>
    <xf numFmtId="178" fontId="7" fillId="0" borderId="21" xfId="6" applyNumberFormat="1" applyFont="1" applyBorder="1" applyAlignment="1">
      <alignment horizontal="right"/>
    </xf>
    <xf numFmtId="177" fontId="7" fillId="0" borderId="49" xfId="0" applyNumberFormat="1" applyFont="1" applyBorder="1"/>
    <xf numFmtId="177" fontId="7" fillId="0" borderId="56" xfId="0" applyNumberFormat="1" applyFont="1" applyBorder="1"/>
    <xf numFmtId="178" fontId="7" fillId="0" borderId="5" xfId="6" applyNumberFormat="1" applyFont="1" applyBorder="1" applyAlignment="1">
      <alignment horizontal="right"/>
    </xf>
    <xf numFmtId="0" fontId="7" fillId="2" borderId="18" xfId="0" applyNumberFormat="1" applyFont="1" applyFill="1" applyBorder="1" applyAlignment="1">
      <alignment horizontal="center"/>
    </xf>
    <xf numFmtId="175" fontId="8" fillId="2" borderId="19" xfId="0" applyNumberFormat="1" applyFont="1" applyFill="1" applyBorder="1" applyAlignment="1">
      <alignment horizontal="center"/>
    </xf>
    <xf numFmtId="177" fontId="7" fillId="2" borderId="18" xfId="0" applyNumberFormat="1" applyFont="1" applyFill="1" applyBorder="1"/>
    <xf numFmtId="177" fontId="7" fillId="2" borderId="49" xfId="0" applyNumberFormat="1" applyFont="1" applyFill="1" applyBorder="1"/>
    <xf numFmtId="177" fontId="7" fillId="2" borderId="29" xfId="0" applyNumberFormat="1" applyFont="1" applyFill="1" applyBorder="1"/>
    <xf numFmtId="178" fontId="7" fillId="2" borderId="19" xfId="6" applyNumberFormat="1" applyFont="1" applyFill="1" applyBorder="1" applyAlignment="1">
      <alignment horizontal="right"/>
    </xf>
    <xf numFmtId="0" fontId="7" fillId="0" borderId="4" xfId="0" applyNumberFormat="1" applyFont="1" applyFill="1" applyBorder="1" applyAlignment="1">
      <alignment horizontal="left"/>
    </xf>
    <xf numFmtId="14" fontId="0" fillId="0" borderId="0" xfId="0" applyNumberFormat="1"/>
    <xf numFmtId="175" fontId="7" fillId="0" borderId="0" xfId="2" applyNumberFormat="1" applyFont="1"/>
    <xf numFmtId="175" fontId="7" fillId="0" borderId="0" xfId="0" applyNumberFormat="1" applyFont="1"/>
    <xf numFmtId="177" fontId="7" fillId="0" borderId="0" xfId="0" applyNumberFormat="1" applyFont="1"/>
    <xf numFmtId="181" fontId="0" fillId="0" borderId="0" xfId="0" applyNumberFormat="1"/>
    <xf numFmtId="0" fontId="7" fillId="0" borderId="64" xfId="0" applyFont="1" applyBorder="1" applyAlignment="1">
      <alignment horizontal="center"/>
    </xf>
    <xf numFmtId="177" fontId="7" fillId="0" borderId="65" xfId="0" applyNumberFormat="1" applyFont="1" applyBorder="1" applyAlignment="1">
      <alignment horizontal="center"/>
    </xf>
    <xf numFmtId="0" fontId="7" fillId="0" borderId="49" xfId="0" applyFont="1" applyBorder="1" applyAlignment="1">
      <alignment horizontal="centerContinuous"/>
    </xf>
    <xf numFmtId="177" fontId="7" fillId="0" borderId="51" xfId="0" applyNumberFormat="1" applyFont="1" applyBorder="1" applyAlignment="1">
      <alignment horizontal="centerContinuous"/>
    </xf>
    <xf numFmtId="0" fontId="8" fillId="0" borderId="66" xfId="0" applyFont="1" applyFill="1" applyBorder="1"/>
    <xf numFmtId="177" fontId="8" fillId="0" borderId="67" xfId="0" applyNumberFormat="1" applyFont="1" applyFill="1" applyBorder="1" applyAlignment="1">
      <alignment horizontal="right"/>
    </xf>
    <xf numFmtId="177" fontId="8" fillId="0" borderId="68" xfId="0" applyNumberFormat="1" applyFont="1" applyFill="1" applyBorder="1" applyAlignment="1">
      <alignment horizontal="right"/>
    </xf>
    <xf numFmtId="178" fontId="8" fillId="0" borderId="69" xfId="0" applyNumberFormat="1" applyFont="1" applyFill="1" applyBorder="1" applyAlignment="1">
      <alignment horizontal="center"/>
    </xf>
    <xf numFmtId="178" fontId="8" fillId="0" borderId="70" xfId="0" applyNumberFormat="1" applyFont="1" applyFill="1" applyBorder="1" applyAlignment="1">
      <alignment horizontal="center"/>
    </xf>
    <xf numFmtId="175" fontId="7" fillId="0" borderId="51" xfId="0" applyNumberFormat="1" applyFont="1" applyBorder="1" applyAlignment="1">
      <alignment horizontal="right"/>
    </xf>
    <xf numFmtId="175" fontId="8" fillId="0" borderId="53" xfId="0" applyNumberFormat="1" applyFont="1" applyFill="1" applyBorder="1" applyAlignment="1">
      <alignment horizontal="right"/>
    </xf>
    <xf numFmtId="175" fontId="7" fillId="0" borderId="54" xfId="0" applyNumberFormat="1" applyFont="1" applyFill="1" applyBorder="1" applyAlignment="1">
      <alignment horizontal="right"/>
    </xf>
    <xf numFmtId="175" fontId="8" fillId="0" borderId="68" xfId="0" applyNumberFormat="1" applyFont="1" applyFill="1" applyBorder="1" applyAlignment="1">
      <alignment horizontal="right"/>
    </xf>
    <xf numFmtId="175" fontId="5" fillId="0" borderId="53" xfId="0" applyNumberFormat="1" applyFont="1" applyFill="1" applyBorder="1" applyAlignment="1">
      <alignment horizontal="right"/>
    </xf>
    <xf numFmtId="175" fontId="7" fillId="0" borderId="51" xfId="0" quotePrefix="1" applyNumberFormat="1" applyFont="1" applyFill="1" applyBorder="1" applyAlignment="1">
      <alignment horizontal="right"/>
    </xf>
    <xf numFmtId="175" fontId="7" fillId="0" borderId="51" xfId="0" applyNumberFormat="1" applyFont="1" applyFill="1" applyBorder="1" applyAlignment="1">
      <alignment horizontal="right"/>
    </xf>
    <xf numFmtId="169" fontId="8" fillId="0" borderId="0" xfId="2" applyFont="1" applyAlignment="1">
      <alignment horizontal="center"/>
    </xf>
    <xf numFmtId="175" fontId="22" fillId="0" borderId="0" xfId="2" applyNumberFormat="1" applyFont="1"/>
    <xf numFmtId="175" fontId="4" fillId="0" borderId="0" xfId="2" applyNumberFormat="1" applyFont="1"/>
    <xf numFmtId="182" fontId="4" fillId="0" borderId="0" xfId="2" applyNumberFormat="1" applyFont="1"/>
    <xf numFmtId="182" fontId="4" fillId="0" borderId="0" xfId="0" applyNumberFormat="1" applyFont="1"/>
    <xf numFmtId="182" fontId="22" fillId="0" borderId="0" xfId="0" applyNumberFormat="1" applyFont="1"/>
    <xf numFmtId="175" fontId="4" fillId="0" borderId="0" xfId="0" applyNumberFormat="1" applyFont="1"/>
    <xf numFmtId="0" fontId="1" fillId="0" borderId="0" xfId="0" applyFont="1"/>
    <xf numFmtId="0" fontId="23" fillId="0" borderId="0" xfId="0" applyFont="1"/>
    <xf numFmtId="0" fontId="12" fillId="0" borderId="0" xfId="0" applyFont="1" applyBorder="1" applyAlignment="1">
      <alignment horizontal="left"/>
    </xf>
    <xf numFmtId="0" fontId="12" fillId="0" borderId="0" xfId="0" applyFont="1" applyProtection="1">
      <protection locked="0"/>
    </xf>
    <xf numFmtId="0" fontId="12" fillId="0" borderId="0" xfId="0" applyFont="1" applyFill="1"/>
    <xf numFmtId="0" fontId="12" fillId="0" borderId="22" xfId="0" quotePrefix="1" applyFont="1" applyFill="1" applyBorder="1" applyAlignment="1">
      <alignment horizontal="left"/>
    </xf>
    <xf numFmtId="0" fontId="12" fillId="0" borderId="22" xfId="3" applyFont="1" applyBorder="1" applyAlignment="1">
      <alignment horizontal="left"/>
    </xf>
    <xf numFmtId="0" fontId="7" fillId="0" borderId="7" xfId="0" applyFont="1" applyFill="1" applyBorder="1" applyAlignment="1">
      <alignment horizontal="center"/>
    </xf>
    <xf numFmtId="177" fontId="0" fillId="0" borderId="1" xfId="0" applyNumberFormat="1" applyBorder="1"/>
    <xf numFmtId="174" fontId="8" fillId="0" borderId="3" xfId="0" applyNumberFormat="1" applyFont="1" applyFill="1" applyBorder="1" applyAlignment="1">
      <alignment horizontal="center"/>
    </xf>
    <xf numFmtId="0" fontId="2" fillId="0" borderId="0" xfId="0" applyFont="1" applyFill="1"/>
    <xf numFmtId="0" fontId="13" fillId="4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0" fillId="0" borderId="0" xfId="0" applyFill="1"/>
    <xf numFmtId="0" fontId="2" fillId="4" borderId="0" xfId="0" applyFont="1" applyFill="1"/>
    <xf numFmtId="169" fontId="2" fillId="4" borderId="0" xfId="2" applyFont="1" applyFill="1"/>
    <xf numFmtId="169" fontId="23" fillId="0" borderId="0" xfId="2" applyFont="1" applyFill="1"/>
    <xf numFmtId="0" fontId="23" fillId="0" borderId="0" xfId="0" applyFont="1" applyFill="1"/>
    <xf numFmtId="0" fontId="7" fillId="0" borderId="0" xfId="0" applyFont="1" applyAlignment="1"/>
    <xf numFmtId="0" fontId="8" fillId="0" borderId="0" xfId="0" applyFont="1" applyFill="1" applyBorder="1" applyAlignment="1"/>
    <xf numFmtId="177" fontId="0" fillId="0" borderId="52" xfId="0" applyNumberFormat="1" applyFill="1" applyBorder="1"/>
    <xf numFmtId="0" fontId="0" fillId="0" borderId="4" xfId="0" applyFill="1" applyBorder="1"/>
    <xf numFmtId="177" fontId="0" fillId="0" borderId="4" xfId="0" applyNumberFormat="1" applyFill="1" applyBorder="1"/>
    <xf numFmtId="177" fontId="7" fillId="0" borderId="71" xfId="0" applyNumberFormat="1" applyFont="1" applyFill="1" applyBorder="1"/>
    <xf numFmtId="0" fontId="0" fillId="0" borderId="1" xfId="0" applyFill="1" applyBorder="1"/>
    <xf numFmtId="177" fontId="7" fillId="0" borderId="20" xfId="0" applyNumberFormat="1" applyFont="1" applyFill="1" applyBorder="1"/>
    <xf numFmtId="0" fontId="36" fillId="0" borderId="6" xfId="0" applyFont="1" applyBorder="1" applyAlignment="1" applyProtection="1">
      <alignment horizontal="center"/>
      <protection locked="0"/>
    </xf>
    <xf numFmtId="169" fontId="39" fillId="0" borderId="0" xfId="2" applyFont="1" applyAlignment="1">
      <alignment horizontal="centerContinuous" vertic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5" fillId="0" borderId="1" xfId="0" applyFont="1" applyBorder="1"/>
    <xf numFmtId="0" fontId="25" fillId="0" borderId="2" xfId="0" applyFont="1" applyBorder="1" applyAlignment="1">
      <alignment horizontal="center"/>
    </xf>
    <xf numFmtId="0" fontId="25" fillId="0" borderId="3" xfId="0" applyFont="1" applyBorder="1"/>
    <xf numFmtId="0" fontId="25" fillId="0" borderId="4" xfId="0" applyFont="1" applyBorder="1"/>
    <xf numFmtId="0" fontId="28" fillId="0" borderId="0" xfId="0" applyFont="1" applyBorder="1" applyAlignment="1">
      <alignment horizontal="center"/>
    </xf>
    <xf numFmtId="0" fontId="25" fillId="0" borderId="5" xfId="0" applyFont="1" applyBorder="1"/>
    <xf numFmtId="0" fontId="25" fillId="0" borderId="0" xfId="0" applyFont="1" applyBorder="1"/>
    <xf numFmtId="0" fontId="25" fillId="0" borderId="20" xfId="0" applyFont="1" applyBorder="1"/>
    <xf numFmtId="0" fontId="25" fillId="0" borderId="30" xfId="0" applyFont="1" applyBorder="1" applyAlignment="1">
      <alignment horizontal="center"/>
    </xf>
    <xf numFmtId="0" fontId="25" fillId="0" borderId="21" xfId="0" applyFont="1" applyBorder="1"/>
    <xf numFmtId="0" fontId="25" fillId="0" borderId="0" xfId="0" applyFont="1" applyBorder="1" applyAlignment="1">
      <alignment horizontal="right"/>
    </xf>
    <xf numFmtId="0" fontId="40" fillId="5" borderId="1" xfId="0" applyFont="1" applyFill="1" applyBorder="1"/>
    <xf numFmtId="0" fontId="40" fillId="5" borderId="2" xfId="0" applyFont="1" applyFill="1" applyBorder="1" applyAlignment="1">
      <alignment horizontal="center"/>
    </xf>
    <xf numFmtId="0" fontId="40" fillId="5" borderId="3" xfId="0" applyFont="1" applyFill="1" applyBorder="1"/>
    <xf numFmtId="0" fontId="25" fillId="2" borderId="0" xfId="0" applyFont="1" applyFill="1" applyBorder="1"/>
    <xf numFmtId="0" fontId="40" fillId="5" borderId="4" xfId="0" applyFont="1" applyFill="1" applyBorder="1"/>
    <xf numFmtId="0" fontId="41" fillId="5" borderId="0" xfId="0" applyFont="1" applyFill="1" applyBorder="1" applyAlignment="1">
      <alignment horizontal="center"/>
    </xf>
    <xf numFmtId="0" fontId="40" fillId="5" borderId="5" xfId="0" applyFont="1" applyFill="1" applyBorder="1"/>
    <xf numFmtId="0" fontId="42" fillId="0" borderId="0" xfId="0" applyFont="1"/>
    <xf numFmtId="0" fontId="40" fillId="5" borderId="0" xfId="0" applyFont="1" applyFill="1" applyAlignment="1">
      <alignment horizontal="center"/>
    </xf>
    <xf numFmtId="0" fontId="40" fillId="5" borderId="20" xfId="0" applyFont="1" applyFill="1" applyBorder="1"/>
    <xf numFmtId="0" fontId="40" fillId="5" borderId="30" xfId="0" applyFont="1" applyFill="1" applyBorder="1" applyAlignment="1">
      <alignment horizontal="center"/>
    </xf>
    <xf numFmtId="0" fontId="40" fillId="5" borderId="21" xfId="0" applyFont="1" applyFill="1" applyBorder="1"/>
    <xf numFmtId="0" fontId="7" fillId="0" borderId="22" xfId="0" quotePrefix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 applyAlignment="1"/>
    <xf numFmtId="169" fontId="23" fillId="0" borderId="0" xfId="0" applyNumberFormat="1" applyFont="1" applyFill="1"/>
    <xf numFmtId="0" fontId="23" fillId="4" borderId="0" xfId="0" applyFont="1" applyFill="1"/>
    <xf numFmtId="183" fontId="23" fillId="0" borderId="0" xfId="0" applyNumberFormat="1" applyFont="1" applyFill="1"/>
    <xf numFmtId="169" fontId="23" fillId="0" borderId="0" xfId="2" applyFont="1"/>
    <xf numFmtId="169" fontId="23" fillId="0" borderId="0" xfId="0" applyNumberFormat="1" applyFont="1"/>
    <xf numFmtId="169" fontId="23" fillId="4" borderId="0" xfId="2" applyFont="1" applyFill="1"/>
    <xf numFmtId="175" fontId="23" fillId="0" borderId="0" xfId="2" applyNumberFormat="1" applyFont="1"/>
    <xf numFmtId="175" fontId="23" fillId="0" borderId="0" xfId="0" applyNumberFormat="1" applyFont="1"/>
    <xf numFmtId="179" fontId="23" fillId="0" borderId="0" xfId="2" applyNumberFormat="1" applyFont="1"/>
    <xf numFmtId="177" fontId="7" fillId="0" borderId="17" xfId="0" applyNumberFormat="1" applyFont="1" applyFill="1" applyBorder="1"/>
    <xf numFmtId="177" fontId="0" fillId="0" borderId="52" xfId="0" applyNumberFormat="1" applyBorder="1"/>
    <xf numFmtId="0" fontId="25" fillId="0" borderId="0" xfId="4" applyFont="1" applyProtection="1"/>
    <xf numFmtId="0" fontId="25" fillId="0" borderId="0" xfId="4" applyFont="1" applyAlignment="1" applyProtection="1">
      <alignment horizontal="center"/>
    </xf>
    <xf numFmtId="0" fontId="25" fillId="0" borderId="1" xfId="4" applyFont="1" applyBorder="1" applyProtection="1"/>
    <xf numFmtId="0" fontId="25" fillId="0" borderId="2" xfId="4" applyFont="1" applyBorder="1" applyProtection="1"/>
    <xf numFmtId="0" fontId="25" fillId="0" borderId="3" xfId="4" applyFont="1" applyBorder="1" applyProtection="1"/>
    <xf numFmtId="0" fontId="25" fillId="0" borderId="4" xfId="4" applyFont="1" applyBorder="1" applyProtection="1"/>
    <xf numFmtId="0" fontId="25" fillId="0" borderId="0" xfId="4" applyFont="1" applyBorder="1" applyProtection="1"/>
    <xf numFmtId="0" fontId="26" fillId="0" borderId="0" xfId="4" applyFont="1" applyFill="1" applyBorder="1" applyAlignment="1" applyProtection="1">
      <alignment horizontal="center"/>
    </xf>
    <xf numFmtId="0" fontId="25" fillId="0" borderId="5" xfId="4" applyFont="1" applyBorder="1" applyProtection="1"/>
    <xf numFmtId="0" fontId="27" fillId="0" borderId="0" xfId="4" applyFont="1" applyAlignment="1" applyProtection="1">
      <alignment horizontal="center"/>
    </xf>
    <xf numFmtId="0" fontId="25" fillId="0" borderId="20" xfId="4" applyFont="1" applyBorder="1" applyProtection="1"/>
    <xf numFmtId="0" fontId="25" fillId="0" borderId="30" xfId="4" applyFont="1" applyBorder="1" applyProtection="1"/>
    <xf numFmtId="0" fontId="25" fillId="0" borderId="21" xfId="4" applyFont="1" applyBorder="1" applyProtection="1"/>
    <xf numFmtId="0" fontId="45" fillId="0" borderId="0" xfId="4" applyFont="1" applyAlignment="1" applyProtection="1">
      <alignment horizontal="center"/>
    </xf>
    <xf numFmtId="0" fontId="45" fillId="0" borderId="0" xfId="4" applyFont="1" applyProtection="1"/>
    <xf numFmtId="0" fontId="44" fillId="0" borderId="0" xfId="4" applyFont="1" applyAlignment="1" applyProtection="1">
      <alignment horizontal="center"/>
    </xf>
    <xf numFmtId="0" fontId="27" fillId="0" borderId="0" xfId="4" applyFont="1" applyProtection="1"/>
    <xf numFmtId="0" fontId="26" fillId="0" borderId="2" xfId="4" applyFont="1" applyBorder="1" applyAlignment="1" applyProtection="1">
      <alignment horizontal="center"/>
    </xf>
    <xf numFmtId="0" fontId="26" fillId="0" borderId="0" xfId="4" applyFont="1" applyBorder="1" applyAlignment="1" applyProtection="1">
      <alignment horizontal="center"/>
    </xf>
    <xf numFmtId="0" fontId="28" fillId="0" borderId="0" xfId="4" applyFont="1" applyProtection="1"/>
    <xf numFmtId="0" fontId="46" fillId="0" borderId="0" xfId="4" applyFont="1" applyProtection="1"/>
    <xf numFmtId="0" fontId="28" fillId="0" borderId="0" xfId="4" applyFont="1" applyAlignment="1" applyProtection="1">
      <alignment horizontal="center"/>
    </xf>
    <xf numFmtId="0" fontId="26" fillId="0" borderId="30" xfId="4" applyFont="1" applyBorder="1" applyAlignment="1" applyProtection="1">
      <alignment horizontal="center"/>
    </xf>
    <xf numFmtId="0" fontId="25" fillId="0" borderId="1" xfId="4" applyFont="1" applyBorder="1" applyAlignment="1" applyProtection="1">
      <alignment horizontal="center"/>
    </xf>
    <xf numFmtId="0" fontId="25" fillId="0" borderId="2" xfId="4" applyFont="1" applyBorder="1" applyAlignment="1" applyProtection="1">
      <alignment horizontal="center"/>
    </xf>
    <xf numFmtId="0" fontId="25" fillId="0" borderId="3" xfId="4" applyFont="1" applyBorder="1" applyAlignment="1" applyProtection="1">
      <alignment horizontal="center"/>
    </xf>
    <xf numFmtId="184" fontId="46" fillId="0" borderId="0" xfId="1" applyNumberFormat="1" applyFont="1" applyProtection="1"/>
    <xf numFmtId="0" fontId="25" fillId="0" borderId="4" xfId="4" applyFont="1" applyBorder="1" applyAlignment="1" applyProtection="1">
      <alignment horizontal="center"/>
    </xf>
    <xf numFmtId="0" fontId="28" fillId="0" borderId="0" xfId="4" applyFont="1" applyBorder="1" applyAlignment="1" applyProtection="1">
      <alignment horizontal="center"/>
    </xf>
    <xf numFmtId="0" fontId="25" fillId="0" borderId="5" xfId="4" applyFont="1" applyBorder="1" applyAlignment="1" applyProtection="1">
      <alignment horizontal="center"/>
    </xf>
    <xf numFmtId="184" fontId="25" fillId="0" borderId="0" xfId="1" applyNumberFormat="1" applyFont="1" applyProtection="1"/>
    <xf numFmtId="0" fontId="25" fillId="0" borderId="0" xfId="4" applyFont="1" applyBorder="1" applyAlignment="1" applyProtection="1">
      <alignment horizontal="center"/>
    </xf>
    <xf numFmtId="0" fontId="25" fillId="0" borderId="0" xfId="4" applyFont="1" applyBorder="1" applyAlignment="1" applyProtection="1">
      <alignment horizontal="right"/>
    </xf>
    <xf numFmtId="0" fontId="29" fillId="0" borderId="0" xfId="4" applyFont="1" applyProtection="1"/>
    <xf numFmtId="0" fontId="30" fillId="0" borderId="35" xfId="4" applyFont="1" applyBorder="1" applyProtection="1"/>
    <xf numFmtId="0" fontId="31" fillId="0" borderId="35" xfId="4" applyFont="1" applyBorder="1" applyProtection="1"/>
    <xf numFmtId="0" fontId="25" fillId="0" borderId="20" xfId="4" applyFont="1" applyBorder="1" applyAlignment="1" applyProtection="1">
      <alignment horizontal="center"/>
    </xf>
    <xf numFmtId="0" fontId="25" fillId="0" borderId="30" xfId="4" applyFont="1" applyBorder="1" applyAlignment="1" applyProtection="1">
      <alignment horizontal="center"/>
    </xf>
    <xf numFmtId="0" fontId="25" fillId="0" borderId="21" xfId="4" applyFont="1" applyBorder="1" applyAlignment="1" applyProtection="1">
      <alignment horizontal="center"/>
    </xf>
    <xf numFmtId="0" fontId="32" fillId="0" borderId="0" xfId="4" applyFont="1" applyProtection="1"/>
    <xf numFmtId="0" fontId="31" fillId="0" borderId="0" xfId="4" applyFont="1" applyProtection="1"/>
    <xf numFmtId="0" fontId="31" fillId="0" borderId="0" xfId="4" applyFont="1" applyAlignment="1" applyProtection="1">
      <alignment horizontal="left"/>
    </xf>
    <xf numFmtId="0" fontId="31" fillId="0" borderId="0" xfId="4" applyFont="1" applyBorder="1" applyProtection="1"/>
    <xf numFmtId="0" fontId="33" fillId="2" borderId="1" xfId="4" applyFont="1" applyFill="1" applyBorder="1" applyAlignment="1" applyProtection="1">
      <alignment horizontal="center"/>
    </xf>
    <xf numFmtId="0" fontId="33" fillId="2" borderId="2" xfId="4" applyFont="1" applyFill="1" applyBorder="1" applyAlignment="1" applyProtection="1">
      <alignment horizontal="center"/>
    </xf>
    <xf numFmtId="0" fontId="33" fillId="2" borderId="3" xfId="4" applyFont="1" applyFill="1" applyBorder="1" applyAlignment="1" applyProtection="1">
      <alignment horizontal="center"/>
    </xf>
    <xf numFmtId="0" fontId="33" fillId="2" borderId="4" xfId="4" applyFont="1" applyFill="1" applyBorder="1" applyAlignment="1" applyProtection="1">
      <alignment horizontal="center"/>
    </xf>
    <xf numFmtId="0" fontId="33" fillId="2" borderId="0" xfId="4" applyFont="1" applyFill="1" applyBorder="1" applyAlignment="1" applyProtection="1">
      <alignment horizontal="center"/>
    </xf>
    <xf numFmtId="0" fontId="26" fillId="2" borderId="0" xfId="4" applyFont="1" applyFill="1" applyBorder="1" applyAlignment="1" applyProtection="1">
      <alignment horizontal="center"/>
    </xf>
    <xf numFmtId="0" fontId="33" fillId="2" borderId="5" xfId="4" applyFont="1" applyFill="1" applyBorder="1" applyAlignment="1" applyProtection="1">
      <alignment horizontal="center"/>
    </xf>
    <xf numFmtId="0" fontId="26" fillId="2" borderId="0" xfId="0" quotePrefix="1" applyFont="1" applyFill="1" applyBorder="1" applyAlignment="1" applyProtection="1">
      <alignment horizontal="center"/>
    </xf>
    <xf numFmtId="184" fontId="46" fillId="0" borderId="0" xfId="4" applyNumberFormat="1" applyFont="1" applyProtection="1"/>
    <xf numFmtId="0" fontId="33" fillId="2" borderId="20" xfId="4" applyFont="1" applyFill="1" applyBorder="1" applyAlignment="1" applyProtection="1">
      <alignment horizontal="center"/>
    </xf>
    <xf numFmtId="0" fontId="33" fillId="2" borderId="30" xfId="4" applyFont="1" applyFill="1" applyBorder="1" applyAlignment="1" applyProtection="1">
      <alignment horizontal="center"/>
    </xf>
    <xf numFmtId="0" fontId="33" fillId="2" borderId="21" xfId="4" applyFont="1" applyFill="1" applyBorder="1" applyAlignment="1" applyProtection="1">
      <alignment horizontal="center"/>
    </xf>
    <xf numFmtId="180" fontId="46" fillId="0" borderId="0" xfId="6" applyNumberFormat="1" applyFont="1" applyProtection="1"/>
    <xf numFmtId="0" fontId="34" fillId="0" borderId="0" xfId="4" applyFont="1" applyProtection="1"/>
    <xf numFmtId="0" fontId="35" fillId="0" borderId="0" xfId="4" quotePrefix="1" applyFont="1" applyAlignment="1" applyProtection="1">
      <alignment horizontal="right"/>
    </xf>
    <xf numFmtId="0" fontId="47" fillId="0" borderId="0" xfId="5"/>
    <xf numFmtId="0" fontId="37" fillId="0" borderId="72" xfId="4" applyFont="1" applyBorder="1" applyAlignment="1" applyProtection="1">
      <alignment horizontal="center" vertical="center"/>
    </xf>
    <xf numFmtId="0" fontId="37" fillId="0" borderId="73" xfId="4" applyFont="1" applyBorder="1" applyAlignment="1" applyProtection="1">
      <alignment horizontal="center" vertical="center"/>
    </xf>
    <xf numFmtId="0" fontId="37" fillId="0" borderId="74" xfId="4" applyFont="1" applyBorder="1" applyAlignment="1" applyProtection="1">
      <alignment horizontal="center" vertical="center"/>
    </xf>
    <xf numFmtId="0" fontId="37" fillId="0" borderId="53" xfId="4" applyFont="1" applyBorder="1" applyAlignment="1" applyProtection="1">
      <alignment horizontal="center" vertical="center"/>
    </xf>
    <xf numFmtId="0" fontId="37" fillId="0" borderId="0" xfId="4" applyFont="1" applyBorder="1" applyAlignment="1" applyProtection="1">
      <alignment horizontal="center" vertical="center"/>
    </xf>
    <xf numFmtId="0" fontId="37" fillId="0" borderId="56" xfId="4" applyFont="1" applyBorder="1" applyAlignment="1" applyProtection="1">
      <alignment horizontal="center" vertical="center"/>
    </xf>
    <xf numFmtId="0" fontId="38" fillId="5" borderId="53" xfId="4" applyFont="1" applyFill="1" applyBorder="1" applyAlignment="1" applyProtection="1">
      <alignment horizontal="center" vertical="center"/>
    </xf>
    <xf numFmtId="0" fontId="38" fillId="5" borderId="0" xfId="4" applyFont="1" applyFill="1" applyBorder="1" applyAlignment="1" applyProtection="1">
      <alignment horizontal="center" vertical="center"/>
    </xf>
    <xf numFmtId="0" fontId="38" fillId="5" borderId="56" xfId="4" applyFont="1" applyFill="1" applyBorder="1" applyAlignment="1" applyProtection="1">
      <alignment horizontal="center" vertical="center"/>
    </xf>
    <xf numFmtId="0" fontId="38" fillId="5" borderId="54" xfId="4" applyFont="1" applyFill="1" applyBorder="1" applyAlignment="1" applyProtection="1">
      <alignment horizontal="center" vertical="center"/>
    </xf>
    <xf numFmtId="0" fontId="38" fillId="5" borderId="50" xfId="4" applyFont="1" applyFill="1" applyBorder="1" applyAlignment="1" applyProtection="1">
      <alignment horizontal="center" vertical="center"/>
    </xf>
    <xf numFmtId="0" fontId="38" fillId="5" borderId="58" xfId="4" applyFont="1" applyFill="1" applyBorder="1" applyAlignment="1" applyProtection="1">
      <alignment horizontal="center" vertical="center"/>
    </xf>
    <xf numFmtId="0" fontId="37" fillId="0" borderId="72" xfId="4" applyFont="1" applyBorder="1" applyAlignment="1" applyProtection="1">
      <alignment horizontal="center" vertical="center"/>
      <protection locked="0"/>
    </xf>
    <xf numFmtId="0" fontId="37" fillId="0" borderId="73" xfId="4" applyFont="1" applyBorder="1" applyAlignment="1" applyProtection="1">
      <alignment horizontal="center" vertical="center"/>
      <protection locked="0"/>
    </xf>
    <xf numFmtId="0" fontId="37" fillId="0" borderId="74" xfId="4" applyFont="1" applyBorder="1" applyAlignment="1" applyProtection="1">
      <alignment horizontal="center" vertical="center"/>
      <protection locked="0"/>
    </xf>
    <xf numFmtId="0" fontId="37" fillId="0" borderId="53" xfId="4" applyFont="1" applyBorder="1" applyAlignment="1" applyProtection="1">
      <alignment horizontal="center" vertical="center"/>
      <protection locked="0"/>
    </xf>
    <xf numFmtId="0" fontId="37" fillId="0" borderId="0" xfId="4" applyFont="1" applyBorder="1" applyAlignment="1" applyProtection="1">
      <alignment horizontal="center" vertical="center"/>
      <protection locked="0"/>
    </xf>
    <xf numFmtId="0" fontId="37" fillId="0" borderId="56" xfId="4" applyFont="1" applyBorder="1" applyAlignment="1" applyProtection="1">
      <alignment horizontal="center" vertical="center"/>
      <protection locked="0"/>
    </xf>
    <xf numFmtId="0" fontId="38" fillId="5" borderId="53" xfId="4" applyFont="1" applyFill="1" applyBorder="1" applyAlignment="1" applyProtection="1">
      <alignment horizontal="center" vertical="center"/>
      <protection locked="0"/>
    </xf>
    <xf numFmtId="0" fontId="38" fillId="5" borderId="0" xfId="4" applyFont="1" applyFill="1" applyBorder="1" applyAlignment="1" applyProtection="1">
      <alignment horizontal="center" vertical="center"/>
      <protection locked="0"/>
    </xf>
    <xf numFmtId="0" fontId="38" fillId="5" borderId="56" xfId="4" applyFont="1" applyFill="1" applyBorder="1" applyAlignment="1" applyProtection="1">
      <alignment horizontal="center" vertical="center"/>
      <protection locked="0"/>
    </xf>
    <xf numFmtId="0" fontId="38" fillId="5" borderId="54" xfId="4" applyFont="1" applyFill="1" applyBorder="1" applyAlignment="1" applyProtection="1">
      <alignment horizontal="center" vertical="center"/>
      <protection locked="0"/>
    </xf>
    <xf numFmtId="0" fontId="38" fillId="5" borderId="50" xfId="4" applyFont="1" applyFill="1" applyBorder="1" applyAlignment="1" applyProtection="1">
      <alignment horizontal="center" vertical="center"/>
      <protection locked="0"/>
    </xf>
    <xf numFmtId="0" fontId="38" fillId="5" borderId="58" xfId="4" applyFont="1" applyFill="1" applyBorder="1" applyAlignment="1" applyProtection="1">
      <alignment horizontal="center" vertical="center"/>
      <protection locked="0"/>
    </xf>
    <xf numFmtId="0" fontId="18" fillId="3" borderId="11" xfId="0" applyFont="1" applyFill="1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19" fillId="3" borderId="11" xfId="0" applyFont="1" applyFill="1" applyBorder="1" applyAlignment="1">
      <alignment horizontal="center" vertical="center" textRotation="255"/>
    </xf>
    <xf numFmtId="0" fontId="19" fillId="3" borderId="7" xfId="0" applyFont="1" applyFill="1" applyBorder="1" applyAlignment="1">
      <alignment horizontal="center" vertical="center" textRotation="255"/>
    </xf>
    <xf numFmtId="0" fontId="19" fillId="3" borderId="9" xfId="0" applyFont="1" applyFill="1" applyBorder="1" applyAlignment="1">
      <alignment horizontal="center" vertical="center" textRotation="255"/>
    </xf>
    <xf numFmtId="0" fontId="43" fillId="3" borderId="11" xfId="0" applyFont="1" applyFill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7" xfId="0" applyFont="1" applyBorder="1" applyAlignment="1">
      <alignment vertical="center"/>
    </xf>
    <xf numFmtId="0" fontId="8" fillId="0" borderId="9" xfId="0" applyFont="1" applyBorder="1" applyAlignment="1">
      <alignment vertical="center"/>
    </xf>
  </cellXfs>
  <cellStyles count="7">
    <cellStyle name="Migliaia" xfId="1" builtinId="3"/>
    <cellStyle name="Migliaia [0]" xfId="2" builtinId="6"/>
    <cellStyle name="Normal_CAPEX (2)" xfId="3"/>
    <cellStyle name="Normale" xfId="0" builtinId="0"/>
    <cellStyle name="Normale_Cartel1" xfId="4"/>
    <cellStyle name="Normale_Simulazione" xfId="5"/>
    <cellStyle name="Percentual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ternetbookshop.it/ser/serdsp.asp?shop=2553&amp;c=PCK74AKM32SGC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excelling.it/bookshop.asp" TargetMode="External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excelling.it/bookshop.asp" TargetMode="External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xcelling.it/bookshop.asp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xcelling.it/bookshop.asp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xcelling.it/bookshop.asp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xcelling.it/bookshop.asp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xcelling.it/bookshop.asp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xcelling.it/bookshop.asp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xcelling.it/bookshop.asp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</xdr:colOff>
      <xdr:row>5</xdr:row>
      <xdr:rowOff>82550</xdr:rowOff>
    </xdr:from>
    <xdr:to>
      <xdr:col>7</xdr:col>
      <xdr:colOff>6350</xdr:colOff>
      <xdr:row>9</xdr:row>
      <xdr:rowOff>25400</xdr:rowOff>
    </xdr:to>
    <xdr:grpSp>
      <xdr:nvGrpSpPr>
        <xdr:cNvPr id="14338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8BEB88-443C-4825-9824-23277592471A}"/>
            </a:ext>
          </a:extLst>
        </xdr:cNvPr>
        <xdr:cNvGrpSpPr>
          <a:grpSpLocks/>
        </xdr:cNvGrpSpPr>
      </xdr:nvGrpSpPr>
      <xdr:grpSpPr bwMode="auto">
        <a:xfrm>
          <a:off x="2581275" y="942975"/>
          <a:ext cx="1895475" cy="628650"/>
          <a:chOff x="379" y="70"/>
          <a:chExt cx="188" cy="70"/>
        </a:xfrm>
      </xdr:grpSpPr>
      <xdr:sp macro="" textlink="">
        <xdr:nvSpPr>
          <xdr:cNvPr id="14339" name="WordArt 3">
            <a:extLst>
              <a:ext uri="{FF2B5EF4-FFF2-40B4-BE49-F238E27FC236}">
                <a16:creationId xmlns:a16="http://schemas.microsoft.com/office/drawing/2014/main" id="{6BC8FEAF-999A-4C40-97BC-4132AAAE855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-3517817">
            <a:off x="390" y="59"/>
            <a:ext cx="70" cy="9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99CC00" mc:Ignorable="a14" a14:legacySpreadsheetColorIndex="5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it-IT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99CC00" mc:Ignorable="a14" a14:legacySpreadsheetColorIndex="50">
                    <a:alpha val="50000"/>
                  </a:srgbClr>
                </a:solidFill>
                <a:effectLst/>
                <a:latin typeface="Arial Black" panose="020B0A04020102020204" pitchFamily="34" charset="0"/>
              </a:rPr>
              <a:t>scaricato da</a:t>
            </a:r>
          </a:p>
        </xdr:txBody>
      </xdr:sp>
      <xdr:pic>
        <xdr:nvPicPr>
          <xdr:cNvPr id="14340" name="Picture 4" descr="Base_LOGO_bello">
            <a:extLst>
              <a:ext uri="{FF2B5EF4-FFF2-40B4-BE49-F238E27FC236}">
                <a16:creationId xmlns:a16="http://schemas.microsoft.com/office/drawing/2014/main" id="{F7FC992A-3565-4802-BE9E-CB005F8D0F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4" y="74"/>
            <a:ext cx="173" cy="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0</xdr:col>
      <xdr:colOff>139700</xdr:colOff>
      <xdr:row>1</xdr:row>
      <xdr:rowOff>57150</xdr:rowOff>
    </xdr:from>
    <xdr:to>
      <xdr:col>3</xdr:col>
      <xdr:colOff>203200</xdr:colOff>
      <xdr:row>15</xdr:row>
      <xdr:rowOff>95250</xdr:rowOff>
    </xdr:to>
    <xdr:pic>
      <xdr:nvPicPr>
        <xdr:cNvPr id="14341" name="Picture 5" descr="88481168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4B222D9-0CB4-43CA-ADAB-45B0F2540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228600"/>
          <a:ext cx="1987550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209550</xdr:colOff>
      <xdr:row>4</xdr:row>
      <xdr:rowOff>6350</xdr:rowOff>
    </xdr:from>
    <xdr:to>
      <xdr:col>23</xdr:col>
      <xdr:colOff>120650</xdr:colOff>
      <xdr:row>5</xdr:row>
      <xdr:rowOff>101600</xdr:rowOff>
    </xdr:to>
    <xdr:pic>
      <xdr:nvPicPr>
        <xdr:cNvPr id="2054" name="Picture 6" descr="Op&amp;Hop2">
          <a:extLst>
            <a:ext uri="{FF2B5EF4-FFF2-40B4-BE49-F238E27FC236}">
              <a16:creationId xmlns:a16="http://schemas.microsoft.com/office/drawing/2014/main" id="{00540C76-5D03-4D78-B384-73DA4246E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2300" y="838200"/>
          <a:ext cx="4826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</xdr:colOff>
      <xdr:row>3</xdr:row>
      <xdr:rowOff>69850</xdr:rowOff>
    </xdr:from>
    <xdr:to>
      <xdr:col>5</xdr:col>
      <xdr:colOff>215900</xdr:colOff>
      <xdr:row>8</xdr:row>
      <xdr:rowOff>120650</xdr:rowOff>
    </xdr:to>
    <xdr:grpSp>
      <xdr:nvGrpSpPr>
        <xdr:cNvPr id="2056" name="Group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F3731A-4078-485C-9EBA-CB7FC6ADBF09}"/>
            </a:ext>
          </a:extLst>
        </xdr:cNvPr>
        <xdr:cNvGrpSpPr>
          <a:grpSpLocks/>
        </xdr:cNvGrpSpPr>
      </xdr:nvGrpSpPr>
      <xdr:grpSpPr bwMode="auto">
        <a:xfrm>
          <a:off x="431346" y="665389"/>
          <a:ext cx="3216729" cy="1309007"/>
          <a:chOff x="379" y="70"/>
          <a:chExt cx="188" cy="70"/>
        </a:xfrm>
      </xdr:grpSpPr>
      <xdr:sp macro="" textlink="">
        <xdr:nvSpPr>
          <xdr:cNvPr id="2057" name="WordArt 9">
            <a:extLst>
              <a:ext uri="{FF2B5EF4-FFF2-40B4-BE49-F238E27FC236}">
                <a16:creationId xmlns:a16="http://schemas.microsoft.com/office/drawing/2014/main" id="{D450B66F-9102-4E9B-8C42-D5063E7FB76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-3517817">
            <a:off x="390" y="59"/>
            <a:ext cx="70" cy="9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99CC00" mc:Ignorable="a14" a14:legacySpreadsheetColorIndex="5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it-IT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99CC00" mc:Ignorable="a14" a14:legacySpreadsheetColorIndex="50">
                    <a:alpha val="50000"/>
                  </a:srgbClr>
                </a:solidFill>
                <a:effectLst/>
                <a:latin typeface="Arial Black" panose="020B0A04020102020204" pitchFamily="34" charset="0"/>
              </a:rPr>
              <a:t>scaricato da</a:t>
            </a:r>
          </a:p>
        </xdr:txBody>
      </xdr:sp>
      <xdr:pic>
        <xdr:nvPicPr>
          <xdr:cNvPr id="2058" name="Picture 10" descr="Base_LOGO_bello">
            <a:extLst>
              <a:ext uri="{FF2B5EF4-FFF2-40B4-BE49-F238E27FC236}">
                <a16:creationId xmlns:a16="http://schemas.microsoft.com/office/drawing/2014/main" id="{33FCFD9E-9A39-43EE-9347-727F107485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4" y="74"/>
            <a:ext cx="173" cy="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444500</xdr:colOff>
      <xdr:row>1</xdr:row>
      <xdr:rowOff>57150</xdr:rowOff>
    </xdr:from>
    <xdr:to>
      <xdr:col>15</xdr:col>
      <xdr:colOff>393700</xdr:colOff>
      <xdr:row>6</xdr:row>
      <xdr:rowOff>381000</xdr:rowOff>
    </xdr:to>
    <xdr:grpSp>
      <xdr:nvGrpSpPr>
        <xdr:cNvPr id="11266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22B7A7-DC7B-490E-8CEF-11AFF7612756}"/>
            </a:ext>
          </a:extLst>
        </xdr:cNvPr>
        <xdr:cNvGrpSpPr>
          <a:grpSpLocks/>
        </xdr:cNvGrpSpPr>
      </xdr:nvGrpSpPr>
      <xdr:grpSpPr bwMode="auto">
        <a:xfrm>
          <a:off x="8385175" y="222250"/>
          <a:ext cx="3359150" cy="1200150"/>
          <a:chOff x="379" y="70"/>
          <a:chExt cx="188" cy="70"/>
        </a:xfrm>
      </xdr:grpSpPr>
      <xdr:sp macro="" textlink="">
        <xdr:nvSpPr>
          <xdr:cNvPr id="11267" name="WordArt 3">
            <a:extLst>
              <a:ext uri="{FF2B5EF4-FFF2-40B4-BE49-F238E27FC236}">
                <a16:creationId xmlns:a16="http://schemas.microsoft.com/office/drawing/2014/main" id="{BDF88C9F-6556-45DA-9D9C-955DA99B2D8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-3517817">
            <a:off x="390" y="59"/>
            <a:ext cx="70" cy="9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99CC00" mc:Ignorable="a14" a14:legacySpreadsheetColorIndex="5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it-IT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99CC00" mc:Ignorable="a14" a14:legacySpreadsheetColorIndex="50">
                    <a:alpha val="50000"/>
                  </a:srgbClr>
                </a:solidFill>
                <a:effectLst/>
                <a:latin typeface="Arial Black" panose="020B0A04020102020204" pitchFamily="34" charset="0"/>
              </a:rPr>
              <a:t>scaricato da</a:t>
            </a:r>
          </a:p>
        </xdr:txBody>
      </xdr:sp>
      <xdr:pic>
        <xdr:nvPicPr>
          <xdr:cNvPr id="11268" name="Picture 4" descr="Base_LOGO_bello">
            <a:extLst>
              <a:ext uri="{FF2B5EF4-FFF2-40B4-BE49-F238E27FC236}">
                <a16:creationId xmlns:a16="http://schemas.microsoft.com/office/drawing/2014/main" id="{CD678DB0-03E1-4920-B927-670C0DAB9F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4" y="74"/>
            <a:ext cx="173" cy="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273050</xdr:colOff>
      <xdr:row>3</xdr:row>
      <xdr:rowOff>50800</xdr:rowOff>
    </xdr:from>
    <xdr:to>
      <xdr:col>2</xdr:col>
      <xdr:colOff>1644650</xdr:colOff>
      <xdr:row>7</xdr:row>
      <xdr:rowOff>457200</xdr:rowOff>
    </xdr:to>
    <xdr:grpSp>
      <xdr:nvGrpSpPr>
        <xdr:cNvPr id="8195" name="Group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3533B3-95C6-4E92-99E0-CF658FB05EF3}"/>
            </a:ext>
          </a:extLst>
        </xdr:cNvPr>
        <xdr:cNvGrpSpPr>
          <a:grpSpLocks/>
        </xdr:cNvGrpSpPr>
      </xdr:nvGrpSpPr>
      <xdr:grpSpPr bwMode="auto">
        <a:xfrm>
          <a:off x="276225" y="547688"/>
          <a:ext cx="2657475" cy="1159668"/>
          <a:chOff x="379" y="70"/>
          <a:chExt cx="188" cy="70"/>
        </a:xfrm>
      </xdr:grpSpPr>
      <xdr:sp macro="" textlink="">
        <xdr:nvSpPr>
          <xdr:cNvPr id="8196" name="WordArt 4">
            <a:extLst>
              <a:ext uri="{FF2B5EF4-FFF2-40B4-BE49-F238E27FC236}">
                <a16:creationId xmlns:a16="http://schemas.microsoft.com/office/drawing/2014/main" id="{3A9BC0EC-F6BC-4349-8D99-5E96F3CEF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-3517817">
            <a:off x="390" y="59"/>
            <a:ext cx="70" cy="9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99CC00" mc:Ignorable="a14" a14:legacySpreadsheetColorIndex="5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it-IT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99CC00" mc:Ignorable="a14" a14:legacySpreadsheetColorIndex="50">
                    <a:alpha val="50000"/>
                  </a:srgbClr>
                </a:solidFill>
                <a:effectLst/>
                <a:latin typeface="Arial Black" panose="020B0A04020102020204" pitchFamily="34" charset="0"/>
              </a:rPr>
              <a:t>scaricato da</a:t>
            </a:r>
          </a:p>
        </xdr:txBody>
      </xdr:sp>
      <xdr:pic>
        <xdr:nvPicPr>
          <xdr:cNvPr id="8197" name="Picture 5" descr="Base_LOGO_bello">
            <a:extLst>
              <a:ext uri="{FF2B5EF4-FFF2-40B4-BE49-F238E27FC236}">
                <a16:creationId xmlns:a16="http://schemas.microsoft.com/office/drawing/2014/main" id="{187277C2-477C-46C3-A93A-3F49E52775B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4" y="74"/>
            <a:ext cx="173" cy="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603250</xdr:colOff>
      <xdr:row>2</xdr:row>
      <xdr:rowOff>0</xdr:rowOff>
    </xdr:from>
    <xdr:to>
      <xdr:col>1</xdr:col>
      <xdr:colOff>120650</xdr:colOff>
      <xdr:row>6</xdr:row>
      <xdr:rowOff>406400</xdr:rowOff>
    </xdr:to>
    <xdr:grpSp>
      <xdr:nvGrpSpPr>
        <xdr:cNvPr id="9235" name="Group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4DF1B9-D178-4897-82B5-4D3CC7262C5C}"/>
            </a:ext>
          </a:extLst>
        </xdr:cNvPr>
        <xdr:cNvGrpSpPr>
          <a:grpSpLocks/>
        </xdr:cNvGrpSpPr>
      </xdr:nvGrpSpPr>
      <xdr:grpSpPr bwMode="auto">
        <a:xfrm>
          <a:off x="600075" y="326571"/>
          <a:ext cx="3592286" cy="1157968"/>
          <a:chOff x="379" y="70"/>
          <a:chExt cx="188" cy="70"/>
        </a:xfrm>
      </xdr:grpSpPr>
      <xdr:sp macro="" textlink="">
        <xdr:nvSpPr>
          <xdr:cNvPr id="9236" name="WordArt 20">
            <a:extLst>
              <a:ext uri="{FF2B5EF4-FFF2-40B4-BE49-F238E27FC236}">
                <a16:creationId xmlns:a16="http://schemas.microsoft.com/office/drawing/2014/main" id="{35F187BA-ED6D-4859-ABEB-316DC18AE6D5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-3517817">
            <a:off x="390" y="59"/>
            <a:ext cx="70" cy="9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99CC00" mc:Ignorable="a14" a14:legacySpreadsheetColorIndex="5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it-IT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99CC00" mc:Ignorable="a14" a14:legacySpreadsheetColorIndex="50">
                    <a:alpha val="50000"/>
                  </a:srgbClr>
                </a:solidFill>
                <a:effectLst/>
                <a:latin typeface="Arial Black" panose="020B0A04020102020204" pitchFamily="34" charset="0"/>
              </a:rPr>
              <a:t>scaricato da</a:t>
            </a:r>
          </a:p>
        </xdr:txBody>
      </xdr:sp>
      <xdr:pic>
        <xdr:nvPicPr>
          <xdr:cNvPr id="9237" name="Picture 21" descr="Base_LOGO_bello">
            <a:extLst>
              <a:ext uri="{FF2B5EF4-FFF2-40B4-BE49-F238E27FC236}">
                <a16:creationId xmlns:a16="http://schemas.microsoft.com/office/drawing/2014/main" id="{351219FC-2F61-4E7B-9B98-2828B90F6B0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4" y="74"/>
            <a:ext cx="173" cy="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311150</xdr:colOff>
      <xdr:row>5</xdr:row>
      <xdr:rowOff>19050</xdr:rowOff>
    </xdr:from>
    <xdr:to>
      <xdr:col>4</xdr:col>
      <xdr:colOff>0</xdr:colOff>
      <xdr:row>12</xdr:row>
      <xdr:rowOff>31750</xdr:rowOff>
    </xdr:to>
    <xdr:grpSp>
      <xdr:nvGrpSpPr>
        <xdr:cNvPr id="10243" name="Group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F65044-5BD5-4087-A575-A202140C7CB6}"/>
            </a:ext>
          </a:extLst>
        </xdr:cNvPr>
        <xdr:cNvGrpSpPr>
          <a:grpSpLocks/>
        </xdr:cNvGrpSpPr>
      </xdr:nvGrpSpPr>
      <xdr:grpSpPr bwMode="auto">
        <a:xfrm>
          <a:off x="314325" y="908050"/>
          <a:ext cx="3482975" cy="1254125"/>
          <a:chOff x="379" y="70"/>
          <a:chExt cx="188" cy="70"/>
        </a:xfrm>
      </xdr:grpSpPr>
      <xdr:sp macro="" textlink="">
        <xdr:nvSpPr>
          <xdr:cNvPr id="10244" name="WordArt 4">
            <a:extLst>
              <a:ext uri="{FF2B5EF4-FFF2-40B4-BE49-F238E27FC236}">
                <a16:creationId xmlns:a16="http://schemas.microsoft.com/office/drawing/2014/main" id="{DB17D343-4ECC-42CA-A716-DDA01D3AA81C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-3517817">
            <a:off x="390" y="59"/>
            <a:ext cx="70" cy="9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99CC00" mc:Ignorable="a14" a14:legacySpreadsheetColorIndex="5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it-IT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99CC00" mc:Ignorable="a14" a14:legacySpreadsheetColorIndex="50">
                    <a:alpha val="50000"/>
                  </a:srgbClr>
                </a:solidFill>
                <a:effectLst/>
                <a:latin typeface="Arial Black" panose="020B0A04020102020204" pitchFamily="34" charset="0"/>
              </a:rPr>
              <a:t>scaricato da</a:t>
            </a:r>
          </a:p>
        </xdr:txBody>
      </xdr:sp>
      <xdr:pic>
        <xdr:nvPicPr>
          <xdr:cNvPr id="10245" name="Picture 5" descr="Base_LOGO_bello">
            <a:extLst>
              <a:ext uri="{FF2B5EF4-FFF2-40B4-BE49-F238E27FC236}">
                <a16:creationId xmlns:a16="http://schemas.microsoft.com/office/drawing/2014/main" id="{04C7D660-97D6-4B3F-AE18-BBEA00B5C0F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4" y="74"/>
            <a:ext cx="173" cy="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381000</xdr:colOff>
      <xdr:row>0</xdr:row>
      <xdr:rowOff>0</xdr:rowOff>
    </xdr:from>
    <xdr:to>
      <xdr:col>10</xdr:col>
      <xdr:colOff>711200</xdr:colOff>
      <xdr:row>6</xdr:row>
      <xdr:rowOff>0</xdr:rowOff>
    </xdr:to>
    <xdr:grpSp>
      <xdr:nvGrpSpPr>
        <xdr:cNvPr id="12290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7A9F58-01A7-43A5-93D9-1E3647AA7F07}"/>
            </a:ext>
          </a:extLst>
        </xdr:cNvPr>
        <xdr:cNvGrpSpPr>
          <a:grpSpLocks/>
        </xdr:cNvGrpSpPr>
      </xdr:nvGrpSpPr>
      <xdr:grpSpPr bwMode="auto">
        <a:xfrm>
          <a:off x="12674600" y="0"/>
          <a:ext cx="3689350" cy="1358900"/>
          <a:chOff x="379" y="70"/>
          <a:chExt cx="188" cy="70"/>
        </a:xfrm>
      </xdr:grpSpPr>
      <xdr:sp macro="" textlink="">
        <xdr:nvSpPr>
          <xdr:cNvPr id="12291" name="WordArt 3">
            <a:extLst>
              <a:ext uri="{FF2B5EF4-FFF2-40B4-BE49-F238E27FC236}">
                <a16:creationId xmlns:a16="http://schemas.microsoft.com/office/drawing/2014/main" id="{01B6CF30-4D58-4B3A-A1D6-E716D96D095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-3517817">
            <a:off x="390" y="59"/>
            <a:ext cx="70" cy="9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99CC00" mc:Ignorable="a14" a14:legacySpreadsheetColorIndex="5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it-IT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99CC00" mc:Ignorable="a14" a14:legacySpreadsheetColorIndex="50">
                    <a:alpha val="50000"/>
                  </a:srgbClr>
                </a:solidFill>
                <a:effectLst/>
                <a:latin typeface="Arial Black" panose="020B0A04020102020204" pitchFamily="34" charset="0"/>
              </a:rPr>
              <a:t>scaricato da</a:t>
            </a:r>
          </a:p>
        </xdr:txBody>
      </xdr:sp>
      <xdr:pic>
        <xdr:nvPicPr>
          <xdr:cNvPr id="12292" name="Picture 4" descr="Base_LOGO_bello">
            <a:extLst>
              <a:ext uri="{FF2B5EF4-FFF2-40B4-BE49-F238E27FC236}">
                <a16:creationId xmlns:a16="http://schemas.microsoft.com/office/drawing/2014/main" id="{FF031D7D-8113-451A-A867-A520EB59240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4" y="74"/>
            <a:ext cx="173" cy="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0</xdr:row>
      <xdr:rowOff>0</xdr:rowOff>
    </xdr:from>
    <xdr:to>
      <xdr:col>13</xdr:col>
      <xdr:colOff>177800</xdr:colOff>
      <xdr:row>5</xdr:row>
      <xdr:rowOff>101600</xdr:rowOff>
    </xdr:to>
    <xdr:grpSp>
      <xdr:nvGrpSpPr>
        <xdr:cNvPr id="3086" name="Group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62A11B-776A-45C6-90E9-00EE9C669228}"/>
            </a:ext>
          </a:extLst>
        </xdr:cNvPr>
        <xdr:cNvGrpSpPr>
          <a:grpSpLocks/>
        </xdr:cNvGrpSpPr>
      </xdr:nvGrpSpPr>
      <xdr:grpSpPr bwMode="auto">
        <a:xfrm>
          <a:off x="6026150" y="0"/>
          <a:ext cx="3235325" cy="1323975"/>
          <a:chOff x="379" y="70"/>
          <a:chExt cx="188" cy="70"/>
        </a:xfrm>
      </xdr:grpSpPr>
      <xdr:sp macro="" textlink="">
        <xdr:nvSpPr>
          <xdr:cNvPr id="3087" name="WordArt 15">
            <a:extLst>
              <a:ext uri="{FF2B5EF4-FFF2-40B4-BE49-F238E27FC236}">
                <a16:creationId xmlns:a16="http://schemas.microsoft.com/office/drawing/2014/main" id="{4641BBB7-DBB0-416A-A73C-DA583EB3AD1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-3517817">
            <a:off x="390" y="59"/>
            <a:ext cx="70" cy="9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99CC00" mc:Ignorable="a14" a14:legacySpreadsheetColorIndex="5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it-IT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99CC00" mc:Ignorable="a14" a14:legacySpreadsheetColorIndex="50">
                    <a:alpha val="50000"/>
                  </a:srgbClr>
                </a:solidFill>
                <a:effectLst/>
                <a:latin typeface="Arial Black" panose="020B0A04020102020204" pitchFamily="34" charset="0"/>
              </a:rPr>
              <a:t>scaricato da</a:t>
            </a:r>
          </a:p>
        </xdr:txBody>
      </xdr:sp>
      <xdr:pic>
        <xdr:nvPicPr>
          <xdr:cNvPr id="3088" name="Picture 16" descr="Base_LOGO_bello">
            <a:extLst>
              <a:ext uri="{FF2B5EF4-FFF2-40B4-BE49-F238E27FC236}">
                <a16:creationId xmlns:a16="http://schemas.microsoft.com/office/drawing/2014/main" id="{29773428-569F-4AAD-8C94-F0B664735A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4" y="74"/>
            <a:ext cx="173" cy="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</xdr:colOff>
      <xdr:row>0</xdr:row>
      <xdr:rowOff>0</xdr:rowOff>
    </xdr:from>
    <xdr:to>
      <xdr:col>13</xdr:col>
      <xdr:colOff>311150</xdr:colOff>
      <xdr:row>6</xdr:row>
      <xdr:rowOff>0</xdr:rowOff>
    </xdr:to>
    <xdr:grpSp>
      <xdr:nvGrpSpPr>
        <xdr:cNvPr id="13314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829F3E-64A7-45FA-9FE1-3E238CA69093}"/>
            </a:ext>
          </a:extLst>
        </xdr:cNvPr>
        <xdr:cNvGrpSpPr>
          <a:grpSpLocks/>
        </xdr:cNvGrpSpPr>
      </xdr:nvGrpSpPr>
      <xdr:grpSpPr bwMode="auto">
        <a:xfrm>
          <a:off x="7096125" y="0"/>
          <a:ext cx="3149600" cy="1371600"/>
          <a:chOff x="379" y="70"/>
          <a:chExt cx="188" cy="70"/>
        </a:xfrm>
      </xdr:grpSpPr>
      <xdr:sp macro="" textlink="">
        <xdr:nvSpPr>
          <xdr:cNvPr id="13315" name="WordArt 3">
            <a:extLst>
              <a:ext uri="{FF2B5EF4-FFF2-40B4-BE49-F238E27FC236}">
                <a16:creationId xmlns:a16="http://schemas.microsoft.com/office/drawing/2014/main" id="{C104047F-99CA-4936-8288-5D042E8CCE7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-3517817">
            <a:off x="390" y="59"/>
            <a:ext cx="70" cy="9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99CC00" mc:Ignorable="a14" a14:legacySpreadsheetColorIndex="5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>
              <a:buNone/>
            </a:pPr>
            <a:r>
              <a:rPr lang="it-IT" sz="3600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99CC00" mc:Ignorable="a14" a14:legacySpreadsheetColorIndex="50">
                    <a:alpha val="50000"/>
                  </a:srgbClr>
                </a:solidFill>
                <a:effectLst/>
                <a:latin typeface="Arial Black" panose="020B0A04020102020204" pitchFamily="34" charset="0"/>
              </a:rPr>
              <a:t>scaricato da</a:t>
            </a:r>
          </a:p>
        </xdr:txBody>
      </xdr:sp>
      <xdr:pic>
        <xdr:nvPicPr>
          <xdr:cNvPr id="13316" name="Picture 4" descr="Base_LOGO_bello">
            <a:extLst>
              <a:ext uri="{FF2B5EF4-FFF2-40B4-BE49-F238E27FC236}">
                <a16:creationId xmlns:a16="http://schemas.microsoft.com/office/drawing/2014/main" id="{68DF4387-A1E5-480F-BEE7-4BC3E0D98C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4" y="74"/>
            <a:ext cx="173" cy="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A18" sqref="A18"/>
    </sheetView>
  </sheetViews>
  <sheetFormatPr defaultColWidth="9.1796875" defaultRowHeight="13.5" x14ac:dyDescent="0.35"/>
  <cols>
    <col min="1" max="16384" width="9.1796875" style="496"/>
  </cols>
  <sheetData>
    <row r="1" spans="1:1" x14ac:dyDescent="0.35">
      <c r="A1" s="496" t="s">
        <v>478</v>
      </c>
    </row>
  </sheetData>
  <phoneticPr fontId="48" type="noConversion"/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zoomScale="75" zoomScaleNormal="75" workbookViewId="0"/>
  </sheetViews>
  <sheetFormatPr defaultColWidth="9.1796875" defaultRowHeight="13.5" x14ac:dyDescent="0.35"/>
  <cols>
    <col min="1" max="2" width="9.1796875" style="398"/>
    <col min="3" max="3" width="27" style="399" customWidth="1"/>
    <col min="4" max="16384" width="9.1796875" style="398"/>
  </cols>
  <sheetData>
    <row r="1" spans="1:5" x14ac:dyDescent="0.35">
      <c r="A1" s="396"/>
      <c r="B1" s="396"/>
      <c r="C1" s="397"/>
      <c r="D1" s="396"/>
      <c r="E1" s="396"/>
    </row>
    <row r="2" spans="1:5" x14ac:dyDescent="0.35">
      <c r="A2" s="396"/>
      <c r="B2" s="396"/>
      <c r="C2" s="397"/>
      <c r="D2" s="396"/>
      <c r="E2" s="396"/>
    </row>
    <row r="3" spans="1:5" x14ac:dyDescent="0.35">
      <c r="A3" s="396"/>
      <c r="E3" s="396"/>
    </row>
    <row r="4" spans="1:5" x14ac:dyDescent="0.35">
      <c r="A4" s="396"/>
      <c r="E4" s="396"/>
    </row>
    <row r="5" spans="1:5" x14ac:dyDescent="0.35">
      <c r="A5" s="396"/>
      <c r="E5" s="396"/>
    </row>
    <row r="6" spans="1:5" x14ac:dyDescent="0.35">
      <c r="A6" s="396"/>
      <c r="E6" s="396"/>
    </row>
    <row r="7" spans="1:5" x14ac:dyDescent="0.35">
      <c r="A7" s="396"/>
      <c r="E7" s="396"/>
    </row>
    <row r="8" spans="1:5" x14ac:dyDescent="0.35">
      <c r="A8" s="396"/>
      <c r="E8" s="396"/>
    </row>
    <row r="9" spans="1:5" x14ac:dyDescent="0.35">
      <c r="A9" s="396"/>
      <c r="E9" s="396"/>
    </row>
    <row r="10" spans="1:5" x14ac:dyDescent="0.35">
      <c r="A10" s="396"/>
      <c r="E10" s="396"/>
    </row>
    <row r="11" spans="1:5" x14ac:dyDescent="0.35">
      <c r="A11" s="396"/>
      <c r="E11" s="396"/>
    </row>
    <row r="12" spans="1:5" x14ac:dyDescent="0.35">
      <c r="A12" s="396"/>
      <c r="E12" s="396"/>
    </row>
    <row r="13" spans="1:5" x14ac:dyDescent="0.35">
      <c r="A13" s="396"/>
      <c r="E13" s="396"/>
    </row>
    <row r="14" spans="1:5" x14ac:dyDescent="0.35">
      <c r="A14" s="396"/>
      <c r="C14" s="400"/>
      <c r="E14" s="396"/>
    </row>
    <row r="15" spans="1:5" x14ac:dyDescent="0.35">
      <c r="A15" s="396"/>
      <c r="C15" s="400"/>
      <c r="E15" s="396"/>
    </row>
    <row r="16" spans="1:5" ht="12.75" customHeight="1" x14ac:dyDescent="0.35">
      <c r="A16" s="396"/>
      <c r="B16" s="509" t="s">
        <v>424</v>
      </c>
      <c r="C16" s="510"/>
      <c r="D16" s="511"/>
      <c r="E16" s="396"/>
    </row>
    <row r="17" spans="1:15" x14ac:dyDescent="0.35">
      <c r="A17" s="396"/>
      <c r="B17" s="512"/>
      <c r="C17" s="513"/>
      <c r="D17" s="514"/>
      <c r="E17" s="396"/>
    </row>
    <row r="18" spans="1:15" x14ac:dyDescent="0.35">
      <c r="A18" s="396"/>
      <c r="B18" s="515" t="s">
        <v>423</v>
      </c>
      <c r="C18" s="516"/>
      <c r="D18" s="517"/>
      <c r="E18" s="396"/>
    </row>
    <row r="19" spans="1:15" x14ac:dyDescent="0.35">
      <c r="A19" s="396"/>
      <c r="B19" s="518"/>
      <c r="C19" s="519"/>
      <c r="D19" s="520"/>
      <c r="E19" s="396"/>
    </row>
    <row r="20" spans="1:15" ht="14" thickBot="1" x14ac:dyDescent="0.4">
      <c r="A20" s="396"/>
      <c r="E20" s="396"/>
    </row>
    <row r="21" spans="1:15" x14ac:dyDescent="0.35">
      <c r="A21" s="396"/>
      <c r="B21" s="401"/>
      <c r="C21" s="402"/>
      <c r="D21" s="403"/>
      <c r="E21" s="396"/>
    </row>
    <row r="22" spans="1:15" ht="15.5" x14ac:dyDescent="0.35">
      <c r="A22" s="396"/>
      <c r="B22" s="404"/>
      <c r="C22" s="405" t="s">
        <v>0</v>
      </c>
      <c r="D22" s="406"/>
      <c r="E22" s="396"/>
    </row>
    <row r="23" spans="1:15" ht="15.5" x14ac:dyDescent="0.35">
      <c r="A23" s="396"/>
      <c r="B23" s="404"/>
      <c r="C23" s="405" t="s">
        <v>1</v>
      </c>
      <c r="D23" s="406"/>
      <c r="E23" s="396"/>
    </row>
    <row r="24" spans="1:15" ht="15.5" x14ac:dyDescent="0.35">
      <c r="A24" s="396"/>
      <c r="B24" s="404"/>
      <c r="C24" s="405" t="str">
        <f>Month</f>
        <v>January 2025</v>
      </c>
      <c r="D24" s="406"/>
      <c r="E24" s="396"/>
      <c r="F24" s="407"/>
      <c r="G24" s="407"/>
      <c r="H24" s="407"/>
      <c r="I24" s="407"/>
      <c r="M24" s="407"/>
      <c r="N24" s="407"/>
      <c r="O24" s="407"/>
    </row>
    <row r="25" spans="1:15" ht="14" thickBot="1" x14ac:dyDescent="0.4">
      <c r="A25" s="396"/>
      <c r="B25" s="408"/>
      <c r="C25" s="409"/>
      <c r="D25" s="410"/>
      <c r="E25" s="396"/>
      <c r="F25" s="407"/>
      <c r="G25" s="407"/>
      <c r="H25" s="411"/>
      <c r="I25" s="407"/>
      <c r="M25" s="411"/>
      <c r="N25" s="407"/>
      <c r="O25" s="407"/>
    </row>
    <row r="26" spans="1:15" x14ac:dyDescent="0.35">
      <c r="A26" s="396"/>
      <c r="E26" s="396"/>
      <c r="F26" s="407"/>
      <c r="G26" s="407"/>
      <c r="H26" s="407"/>
      <c r="I26" s="407"/>
    </row>
    <row r="27" spans="1:15" ht="14" thickBot="1" x14ac:dyDescent="0.4">
      <c r="A27" s="396"/>
      <c r="E27" s="396"/>
      <c r="F27" s="407"/>
      <c r="G27" s="407"/>
      <c r="H27" s="407"/>
      <c r="I27" s="407"/>
    </row>
    <row r="28" spans="1:15" ht="12" customHeight="1" x14ac:dyDescent="0.35">
      <c r="A28" s="396"/>
      <c r="B28" s="412"/>
      <c r="C28" s="413"/>
      <c r="D28" s="414"/>
      <c r="E28" s="415"/>
      <c r="F28" s="407"/>
      <c r="G28" s="407"/>
      <c r="H28" s="407"/>
      <c r="I28" s="407"/>
    </row>
    <row r="29" spans="1:15" ht="12" customHeight="1" x14ac:dyDescent="0.45">
      <c r="A29" s="396"/>
      <c r="B29" s="416"/>
      <c r="C29" s="417"/>
      <c r="D29" s="418"/>
      <c r="E29" s="415"/>
      <c r="F29" s="407"/>
      <c r="G29" s="407"/>
      <c r="H29" s="407"/>
      <c r="I29" s="407"/>
    </row>
    <row r="30" spans="1:15" ht="19" x14ac:dyDescent="0.45">
      <c r="A30" s="396"/>
      <c r="B30" s="416"/>
      <c r="C30" s="417" t="s">
        <v>18</v>
      </c>
      <c r="D30" s="418"/>
      <c r="E30" s="415"/>
      <c r="F30" s="407"/>
      <c r="G30" s="407"/>
      <c r="H30" s="407"/>
      <c r="I30" s="407"/>
      <c r="K30" s="419"/>
    </row>
    <row r="31" spans="1:15" ht="11.25" customHeight="1" x14ac:dyDescent="0.45">
      <c r="A31" s="396"/>
      <c r="B31" s="416"/>
      <c r="C31" s="417"/>
      <c r="D31" s="418"/>
      <c r="E31" s="415"/>
      <c r="F31" s="407"/>
      <c r="G31" s="407"/>
      <c r="H31" s="407"/>
      <c r="I31" s="407"/>
    </row>
    <row r="32" spans="1:15" ht="18" customHeight="1" x14ac:dyDescent="0.45">
      <c r="A32" s="396"/>
      <c r="B32" s="416"/>
      <c r="C32" s="417" t="s">
        <v>19</v>
      </c>
      <c r="D32" s="418"/>
      <c r="E32" s="415"/>
      <c r="F32" s="407"/>
      <c r="G32" s="407"/>
      <c r="H32" s="407"/>
      <c r="I32" s="407"/>
    </row>
    <row r="33" spans="1:9" x14ac:dyDescent="0.35">
      <c r="A33" s="396"/>
      <c r="B33" s="416"/>
      <c r="C33" s="420"/>
      <c r="D33" s="418"/>
      <c r="E33" s="415"/>
      <c r="F33" s="407"/>
      <c r="G33" s="407"/>
      <c r="H33" s="407"/>
      <c r="I33" s="407"/>
    </row>
    <row r="34" spans="1:9" ht="14" thickBot="1" x14ac:dyDescent="0.4">
      <c r="A34" s="396"/>
      <c r="B34" s="421"/>
      <c r="C34" s="422"/>
      <c r="D34" s="423"/>
      <c r="E34" s="396"/>
      <c r="F34" s="407"/>
      <c r="G34" s="407"/>
      <c r="H34" s="407"/>
      <c r="I34" s="407"/>
    </row>
    <row r="35" spans="1:9" x14ac:dyDescent="0.35">
      <c r="A35" s="396"/>
      <c r="B35" s="396"/>
      <c r="C35" s="397"/>
      <c r="D35" s="396"/>
      <c r="E35" s="396"/>
      <c r="F35" s="407"/>
      <c r="G35" s="407"/>
      <c r="H35" s="407"/>
      <c r="I35" s="407"/>
    </row>
    <row r="36" spans="1:9" x14ac:dyDescent="0.35">
      <c r="A36" s="396"/>
      <c r="B36" s="396"/>
      <c r="C36" s="397"/>
      <c r="D36" s="396"/>
      <c r="E36" s="396"/>
      <c r="F36" s="407"/>
      <c r="G36" s="407"/>
      <c r="H36" s="407"/>
      <c r="I36" s="407"/>
    </row>
    <row r="37" spans="1:9" x14ac:dyDescent="0.35">
      <c r="F37" s="407"/>
      <c r="G37" s="407"/>
      <c r="H37" s="407"/>
      <c r="I37" s="407"/>
    </row>
    <row r="38" spans="1:9" x14ac:dyDescent="0.35">
      <c r="F38" s="407"/>
      <c r="G38" s="407"/>
      <c r="H38" s="407"/>
      <c r="I38" s="407"/>
    </row>
    <row r="39" spans="1:9" x14ac:dyDescent="0.35">
      <c r="F39" s="407"/>
      <c r="G39" s="407"/>
      <c r="H39" s="407"/>
      <c r="I39" s="407"/>
    </row>
    <row r="40" spans="1:9" x14ac:dyDescent="0.35">
      <c r="F40" s="407"/>
      <c r="G40" s="407"/>
      <c r="H40" s="407"/>
      <c r="I40" s="407"/>
    </row>
  </sheetData>
  <mergeCells count="2">
    <mergeCell ref="B16:D17"/>
    <mergeCell ref="B18:D19"/>
  </mergeCells>
  <phoneticPr fontId="24" type="noConversion"/>
  <printOptions horizontalCentered="1" verticalCentered="1"/>
  <pageMargins left="0.78740157480314965" right="0.78740157480314965" top="0.31496062992125984" bottom="0.27559055118110237" header="0.19685039370078741" footer="0.15748031496062992"/>
  <pageSetup paperSize="9" scale="67" orientation="landscape" r:id="rId1"/>
  <headerFooter alignWithMargins="0">
    <oddFooter>&amp;LOp.Hop Inc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showFormulas="1" showGridLines="0" zoomScale="75" zoomScaleNormal="75" workbookViewId="0">
      <pane xSplit="4" ySplit="9" topLeftCell="E10" activePane="bottomRight" state="frozen"/>
      <selection activeCell="C13" sqref="C11:E14"/>
      <selection pane="topRight" activeCell="C13" sqref="C11:E14"/>
      <selection pane="bottomLeft" activeCell="C13" sqref="C11:E14"/>
      <selection pane="bottomRight" activeCell="K14" sqref="K14"/>
    </sheetView>
  </sheetViews>
  <sheetFormatPr defaultRowHeight="12.5" x14ac:dyDescent="0.25"/>
  <cols>
    <col min="1" max="1" width="5" bestFit="1" customWidth="1"/>
    <col min="2" max="2" width="9.453125" customWidth="1"/>
    <col min="3" max="3" width="36.7265625" customWidth="1"/>
    <col min="4" max="4" width="1.7265625" customWidth="1"/>
    <col min="5" max="5" width="11.81640625" style="114" bestFit="1" customWidth="1"/>
    <col min="6" max="6" width="10.54296875" bestFit="1" customWidth="1"/>
    <col min="7" max="7" width="10" bestFit="1" customWidth="1"/>
    <col min="8" max="8" width="11.26953125" bestFit="1" customWidth="1"/>
    <col min="9" max="9" width="1.54296875" customWidth="1"/>
    <col min="10" max="10" width="8.81640625" style="114" customWidth="1"/>
    <col min="11" max="11" width="10.7265625" customWidth="1"/>
    <col min="12" max="12" width="10.453125" bestFit="1" customWidth="1"/>
    <col min="13" max="13" width="11.54296875" bestFit="1" customWidth="1"/>
  </cols>
  <sheetData>
    <row r="1" spans="1:17" ht="12" customHeight="1" x14ac:dyDescent="0.3">
      <c r="C1" s="8" t="str">
        <f>'P&amp;L'!C1</f>
        <v>Op.Hop Inc</v>
      </c>
    </row>
    <row r="2" spans="1:17" ht="13" x14ac:dyDescent="0.3">
      <c r="C2" s="9" t="str">
        <f>Month</f>
        <v>January 2025</v>
      </c>
    </row>
    <row r="3" spans="1:17" ht="13" x14ac:dyDescent="0.3">
      <c r="C3" s="8" t="str">
        <f>'P&amp;L'!C3</f>
        <v>EUR/1000</v>
      </c>
    </row>
    <row r="4" spans="1:17" ht="41.25" customHeight="1" thickBot="1" x14ac:dyDescent="0.3"/>
    <row r="5" spans="1:17" ht="13.5" thickBot="1" x14ac:dyDescent="0.35">
      <c r="C5" s="20"/>
      <c r="E5" s="209" t="str">
        <f>UPPER(Cov!$D$20)</f>
        <v>JANUARY 2025</v>
      </c>
      <c r="F5" s="75"/>
      <c r="G5" s="75"/>
      <c r="H5" s="76"/>
      <c r="J5" s="209" t="str">
        <f>"YTD "&amp;UPPER(Cov!$D$20)</f>
        <v>YTD JANUARY 2025</v>
      </c>
      <c r="K5" s="75"/>
      <c r="L5" s="75"/>
      <c r="M5" s="76"/>
    </row>
    <row r="6" spans="1:17" ht="13.5" thickBot="1" x14ac:dyDescent="0.35">
      <c r="C6" s="21"/>
      <c r="E6" s="210"/>
      <c r="F6" s="78"/>
      <c r="G6" s="78"/>
      <c r="H6" s="78"/>
      <c r="I6" s="78"/>
      <c r="J6" s="272"/>
      <c r="L6" s="77"/>
      <c r="M6" s="78"/>
      <c r="N6" s="78"/>
      <c r="O6" s="78"/>
      <c r="P6" s="78"/>
      <c r="Q6" s="78"/>
    </row>
    <row r="7" spans="1:17" ht="13" x14ac:dyDescent="0.3">
      <c r="C7" s="22" t="s">
        <v>20</v>
      </c>
      <c r="E7" s="267" t="s">
        <v>157</v>
      </c>
      <c r="F7" s="116" t="s">
        <v>158</v>
      </c>
      <c r="G7" s="117" t="s">
        <v>154</v>
      </c>
      <c r="H7" s="118"/>
      <c r="I7" s="119"/>
      <c r="J7" s="267" t="s">
        <v>157</v>
      </c>
      <c r="K7" s="116" t="s">
        <v>158</v>
      </c>
      <c r="L7" s="117" t="s">
        <v>154</v>
      </c>
      <c r="M7" s="118"/>
    </row>
    <row r="8" spans="1:17" ht="13.5" thickBot="1" x14ac:dyDescent="0.35">
      <c r="C8" s="16"/>
      <c r="E8" s="268" t="s">
        <v>155</v>
      </c>
      <c r="F8" s="121" t="s">
        <v>155</v>
      </c>
      <c r="G8" s="122" t="s">
        <v>155</v>
      </c>
      <c r="H8" s="81" t="s">
        <v>156</v>
      </c>
      <c r="I8" s="119"/>
      <c r="J8" s="268" t="s">
        <v>155</v>
      </c>
      <c r="K8" s="121" t="s">
        <v>155</v>
      </c>
      <c r="L8" s="122" t="s">
        <v>155</v>
      </c>
      <c r="M8" s="81" t="s">
        <v>156</v>
      </c>
    </row>
    <row r="9" spans="1:17" ht="13.5" thickBot="1" x14ac:dyDescent="0.3">
      <c r="C9" s="49"/>
      <c r="E9" s="269"/>
      <c r="F9" s="2"/>
      <c r="G9" s="2"/>
      <c r="H9" s="3"/>
      <c r="J9" s="269"/>
      <c r="K9" s="2"/>
      <c r="L9" s="2"/>
      <c r="M9" s="3"/>
    </row>
    <row r="10" spans="1:17" x14ac:dyDescent="0.25">
      <c r="A10" s="521" t="s">
        <v>328</v>
      </c>
      <c r="B10" t="s">
        <v>200</v>
      </c>
      <c r="C10" s="50" t="s">
        <v>433</v>
      </c>
      <c r="E10" s="264">
        <f>SUMIF('IN Act'!$B:$B,$B10,'IN Act'!$P:$P)</f>
        <v>126.66094999999997</v>
      </c>
      <c r="F10" s="181">
        <f>SUMIF('IN Bdg'!$B:$B,$B10,'IN Bdg'!$P:$P)</f>
        <v>173.29863325316668</v>
      </c>
      <c r="G10" s="123">
        <f>E10-F10</f>
        <v>-46.637683253166713</v>
      </c>
      <c r="H10" s="124">
        <f>IF(F10&lt;&gt;0, G10/F10, "N.A.")</f>
        <v>-0.269117432594146</v>
      </c>
      <c r="J10" s="264">
        <f>SUMIF('IN Act'!$B:$B,$B10,'IN Act'!$Q:$Q)</f>
        <v>126.66094999999997</v>
      </c>
      <c r="K10" s="181">
        <f>SUMIF('IN Bdg'!$B:$B,$B10,'IN Bdg'!$Q:$Q)</f>
        <v>173.29863325316668</v>
      </c>
      <c r="L10" s="123">
        <f t="shared" ref="L10:L17" si="0">J10-K10</f>
        <v>-46.637683253166713</v>
      </c>
      <c r="M10" s="124">
        <f>IF(K10&lt;&gt;0, L10/K10, "N.A.")</f>
        <v>-0.269117432594146</v>
      </c>
    </row>
    <row r="11" spans="1:17" ht="12.75" customHeight="1" x14ac:dyDescent="0.25">
      <c r="A11" s="522"/>
      <c r="B11" t="s">
        <v>201</v>
      </c>
      <c r="C11" s="50" t="s">
        <v>434</v>
      </c>
      <c r="E11" s="263">
        <f>SUMIF('IN Act'!$B:$B,$B11,'IN Act'!$P:$P)</f>
        <v>2.983940000000004</v>
      </c>
      <c r="F11" s="185">
        <f>SUMIF('IN Bdg'!$B:$B,$B11,'IN Bdg'!$P:$P)</f>
        <v>0</v>
      </c>
      <c r="G11" s="127">
        <f t="shared" ref="G11:G27" si="1">E11-F11</f>
        <v>2.983940000000004</v>
      </c>
      <c r="H11" s="128" t="str">
        <f t="shared" ref="H11:H27" si="2">IF(F11&lt;&gt;0, G11/F11, "N.A.")</f>
        <v>N.A.</v>
      </c>
      <c r="J11" s="263">
        <f>SUMIF('IN Act'!$B:$B,$B11,'IN Act'!$Q:$Q)</f>
        <v>2.983940000000004</v>
      </c>
      <c r="K11" s="185">
        <f>SUMIF('IN Bdg'!$B:$B,$B11,'IN Bdg'!$Q:$Q)</f>
        <v>0</v>
      </c>
      <c r="L11" s="127">
        <f t="shared" si="0"/>
        <v>2.983940000000004</v>
      </c>
      <c r="M11" s="128" t="str">
        <f t="shared" ref="M11:M17" si="3">IF(K11&lt;&gt;0, L11/K11, "N.A.")</f>
        <v>N.A.</v>
      </c>
    </row>
    <row r="12" spans="1:17" x14ac:dyDescent="0.25">
      <c r="A12" s="522"/>
      <c r="B12" t="s">
        <v>202</v>
      </c>
      <c r="C12" s="50" t="s">
        <v>435</v>
      </c>
      <c r="E12" s="263">
        <f>SUMIF('IN Act'!$B:$B,$B12,'IN Act'!$P:$P)</f>
        <v>0</v>
      </c>
      <c r="F12" s="184">
        <f>SUMIF('IN Bdg'!$B:$B,$B12,'IN Bdg'!$P:$P)</f>
        <v>0</v>
      </c>
      <c r="G12" s="127">
        <f t="shared" si="1"/>
        <v>0</v>
      </c>
      <c r="H12" s="128" t="str">
        <f t="shared" si="2"/>
        <v>N.A.</v>
      </c>
      <c r="J12" s="263">
        <f>SUMIF('IN Act'!$B:$B,$B12,'IN Act'!$Q:$Q)</f>
        <v>0</v>
      </c>
      <c r="K12" s="184">
        <f>SUMIF('IN Bdg'!$B:$B,$B12,'IN Bdg'!$Q:$Q)</f>
        <v>0</v>
      </c>
      <c r="L12" s="127">
        <f t="shared" si="0"/>
        <v>0</v>
      </c>
      <c r="M12" s="128" t="str">
        <f t="shared" si="3"/>
        <v>N.A.</v>
      </c>
    </row>
    <row r="13" spans="1:17" x14ac:dyDescent="0.25">
      <c r="A13" s="522"/>
      <c r="B13" t="s">
        <v>203</v>
      </c>
      <c r="C13" s="51" t="s">
        <v>436</v>
      </c>
      <c r="E13" s="263">
        <f>SUMIF('IN Act'!$B:$B,$B13,'IN Act'!$P:$P)</f>
        <v>-124.96535999999998</v>
      </c>
      <c r="F13" s="184">
        <f>SUMIF('IN Bdg'!$B:$B,$B13,'IN Bdg'!$P:$P)</f>
        <v>0</v>
      </c>
      <c r="G13" s="127">
        <f t="shared" si="1"/>
        <v>-124.96535999999998</v>
      </c>
      <c r="H13" s="128" t="str">
        <f t="shared" si="2"/>
        <v>N.A.</v>
      </c>
      <c r="J13" s="263">
        <f>SUMIF('IN Act'!$B:$B,$B13,'IN Act'!$Q:$Q)</f>
        <v>-124.96535999999998</v>
      </c>
      <c r="K13" s="184">
        <f>SUMIF('IN Bdg'!$B:$B,$B13,'IN Bdg'!$Q:$Q)</f>
        <v>0</v>
      </c>
      <c r="L13" s="127">
        <f t="shared" si="0"/>
        <v>-124.96535999999998</v>
      </c>
      <c r="M13" s="128" t="str">
        <f t="shared" si="3"/>
        <v>N.A.</v>
      </c>
    </row>
    <row r="14" spans="1:17" x14ac:dyDescent="0.25">
      <c r="A14" s="522"/>
      <c r="B14" t="s">
        <v>204</v>
      </c>
      <c r="C14" s="51" t="s">
        <v>398</v>
      </c>
      <c r="E14" s="161">
        <f>SUMIF('IN Act'!$B:$B,$B14,'IN Act'!$P:$P)</f>
        <v>0</v>
      </c>
      <c r="F14" s="184">
        <f>SUMIF('IN Bdg'!$B:$B,$B14,'IN Bdg'!$P:$P)</f>
        <v>156.87011529755154</v>
      </c>
      <c r="G14" s="127">
        <f t="shared" si="1"/>
        <v>-156.87011529755154</v>
      </c>
      <c r="H14" s="128">
        <f t="shared" si="2"/>
        <v>-1</v>
      </c>
      <c r="J14" s="161">
        <f>SUMIF('IN Act'!$B:$B,$B14,'IN Act'!$Q:$Q)</f>
        <v>0</v>
      </c>
      <c r="K14" s="184">
        <f>SUMIF('IN Bdg'!$B:$B,$B14,'IN Bdg'!$Q:$Q)</f>
        <v>156.87011529755154</v>
      </c>
      <c r="L14" s="127">
        <f t="shared" si="0"/>
        <v>-156.87011529755154</v>
      </c>
      <c r="M14" s="128">
        <f t="shared" si="3"/>
        <v>-1</v>
      </c>
    </row>
    <row r="15" spans="1:17" x14ac:dyDescent="0.25">
      <c r="A15" s="522"/>
      <c r="B15" t="s">
        <v>205</v>
      </c>
      <c r="C15" s="50" t="s">
        <v>431</v>
      </c>
      <c r="E15" s="263">
        <f>SUMIF('IN Act'!$B:$B,$B15,'IN Act'!$P:$P)</f>
        <v>4.9541599999999999</v>
      </c>
      <c r="F15" s="184">
        <f>SUMIF('IN Bdg'!$B:$B,$B15,'IN Bdg'!$P:$P)</f>
        <v>0</v>
      </c>
      <c r="G15" s="127">
        <f t="shared" si="1"/>
        <v>4.9541599999999999</v>
      </c>
      <c r="H15" s="128" t="str">
        <f t="shared" si="2"/>
        <v>N.A.</v>
      </c>
      <c r="J15" s="263">
        <f>SUMIF('IN Act'!$B:$B,$B15,'IN Act'!$Q:$Q)</f>
        <v>4.9541599999999999</v>
      </c>
      <c r="K15" s="184">
        <f>SUMIF('IN Bdg'!$B:$B,$B15,'IN Bdg'!$Q:$Q)</f>
        <v>0</v>
      </c>
      <c r="L15" s="127">
        <f t="shared" si="0"/>
        <v>4.9541599999999999</v>
      </c>
      <c r="M15" s="128" t="str">
        <f t="shared" si="3"/>
        <v>N.A.</v>
      </c>
    </row>
    <row r="16" spans="1:17" x14ac:dyDescent="0.25">
      <c r="A16" s="522"/>
      <c r="B16" t="s">
        <v>206</v>
      </c>
      <c r="C16" s="51" t="s">
        <v>432</v>
      </c>
      <c r="E16" s="263">
        <f>SUMIF('IN Act'!$B:$B,$B16,'IN Act'!$P:$P)</f>
        <v>0</v>
      </c>
      <c r="F16" s="184">
        <f>SUMIF('IN Bdg'!$B:$B,$B16,'IN Bdg'!$P:$P)</f>
        <v>45.903999999999996</v>
      </c>
      <c r="G16" s="125">
        <f t="shared" si="1"/>
        <v>-45.903999999999996</v>
      </c>
      <c r="H16" s="128">
        <f t="shared" si="2"/>
        <v>-1</v>
      </c>
      <c r="J16" s="263">
        <f>SUMIF('IN Act'!$B:$B,$B16,'IN Act'!$Q:$Q)</f>
        <v>0</v>
      </c>
      <c r="K16" s="184">
        <f>SUMIF('IN Bdg'!$B:$B,$B16,'IN Bdg'!$Q:$Q)</f>
        <v>45.903999999999996</v>
      </c>
      <c r="L16" s="127">
        <f t="shared" si="0"/>
        <v>-45.903999999999996</v>
      </c>
      <c r="M16" s="128">
        <f t="shared" si="3"/>
        <v>-1</v>
      </c>
    </row>
    <row r="17" spans="1:13" ht="13" x14ac:dyDescent="0.3">
      <c r="A17" s="522"/>
      <c r="C17" s="424"/>
      <c r="E17" s="270">
        <f>SUM(E10:E16)</f>
        <v>9.6336899999999996</v>
      </c>
      <c r="F17" s="183">
        <f>SUM(F10:F16)</f>
        <v>376.07274855071819</v>
      </c>
      <c r="G17" s="146">
        <f t="shared" si="1"/>
        <v>-366.43905855071819</v>
      </c>
      <c r="H17" s="137">
        <f t="shared" si="2"/>
        <v>-0.97438344033933433</v>
      </c>
      <c r="J17" s="270">
        <f>SUM(J10:J16)</f>
        <v>9.6336899999999996</v>
      </c>
      <c r="K17" s="183">
        <f>SUM(K10:K16)</f>
        <v>376.07274855071819</v>
      </c>
      <c r="L17" s="136">
        <f t="shared" si="0"/>
        <v>-366.43905855071819</v>
      </c>
      <c r="M17" s="137">
        <f t="shared" si="3"/>
        <v>-0.97438344033933433</v>
      </c>
    </row>
    <row r="18" spans="1:13" ht="13" x14ac:dyDescent="0.25">
      <c r="A18" s="522"/>
      <c r="C18" s="424" t="s">
        <v>440</v>
      </c>
      <c r="E18" s="264"/>
      <c r="F18" s="158"/>
      <c r="G18" s="125"/>
      <c r="H18" s="128"/>
      <c r="J18" s="264"/>
      <c r="K18" s="158"/>
      <c r="L18" s="127"/>
      <c r="M18" s="128"/>
    </row>
    <row r="19" spans="1:13" x14ac:dyDescent="0.25">
      <c r="A19" s="522"/>
      <c r="B19" t="s">
        <v>207</v>
      </c>
      <c r="C19" s="50" t="s">
        <v>441</v>
      </c>
      <c r="E19" s="263">
        <f>SUMIF('IN Act'!$B:$B,$B19,'IN Act'!$P:$P)</f>
        <v>0</v>
      </c>
      <c r="F19" s="184">
        <f>SUMIF('IN Bdg'!$B:$B,$B19,'IN Bdg'!$P:$P)</f>
        <v>596.41307771145216</v>
      </c>
      <c r="G19" s="125">
        <f t="shared" si="1"/>
        <v>-596.41307771145216</v>
      </c>
      <c r="H19" s="128">
        <f t="shared" si="2"/>
        <v>-1</v>
      </c>
      <c r="J19" s="263">
        <f>SUMIF('IN Act'!$B:$B,$B19,'IN Act'!$Q:$Q)</f>
        <v>0</v>
      </c>
      <c r="K19" s="184">
        <f>SUMIF('IN Bdg'!$B:$B,$B19,'IN Bdg'!$Q:$Q)</f>
        <v>596.41307771145216</v>
      </c>
      <c r="L19" s="127">
        <f>J19-K19</f>
        <v>-596.41307771145216</v>
      </c>
      <c r="M19" s="128">
        <f>IF(K19&lt;&gt;0, L19/K19, "N.A.")</f>
        <v>-1</v>
      </c>
    </row>
    <row r="20" spans="1:13" x14ac:dyDescent="0.25">
      <c r="A20" s="522"/>
      <c r="B20" t="s">
        <v>208</v>
      </c>
      <c r="C20" s="51" t="s">
        <v>442</v>
      </c>
      <c r="E20" s="263">
        <f>SUMIF('IN Act'!$B:$B,$B20,'IN Act'!$P:$P)</f>
        <v>0</v>
      </c>
      <c r="F20" s="184">
        <f>SUMIF('IN Bdg'!$B:$B,$B20,'IN Bdg'!$P:$P)</f>
        <v>0</v>
      </c>
      <c r="G20" s="127">
        <f t="shared" si="1"/>
        <v>0</v>
      </c>
      <c r="H20" s="128" t="str">
        <f t="shared" si="2"/>
        <v>N.A.</v>
      </c>
      <c r="J20" s="263">
        <f>SUMIF('IN Act'!$B:$B,$B20,'IN Act'!$Q:$Q)</f>
        <v>0</v>
      </c>
      <c r="K20" s="184">
        <f>SUMIF('IN Bdg'!$B:$B,$B20,'IN Bdg'!$Q:$Q)</f>
        <v>0</v>
      </c>
      <c r="L20" s="127">
        <f>J20-K20</f>
        <v>0</v>
      </c>
      <c r="M20" s="128" t="str">
        <f>IF(K20&lt;&gt;0, L20/K20, "N.A.")</f>
        <v>N.A.</v>
      </c>
    </row>
    <row r="21" spans="1:13" ht="13" x14ac:dyDescent="0.3">
      <c r="A21" s="522"/>
      <c r="C21" s="52"/>
      <c r="E21" s="271">
        <f>SUM(E19:E20)</f>
        <v>0</v>
      </c>
      <c r="F21" s="183">
        <f>SUM(F19:F20)</f>
        <v>596.41307771145216</v>
      </c>
      <c r="G21" s="136">
        <f t="shared" si="1"/>
        <v>-596.41307771145216</v>
      </c>
      <c r="H21" s="137">
        <f t="shared" si="2"/>
        <v>-1</v>
      </c>
      <c r="J21" s="271">
        <f>SUM(J19:J20)</f>
        <v>0</v>
      </c>
      <c r="K21" s="183">
        <f>SUM(K19:K20)</f>
        <v>596.41307771145216</v>
      </c>
      <c r="L21" s="136">
        <f>J21-K21</f>
        <v>-596.41307771145216</v>
      </c>
      <c r="M21" s="137">
        <f>IF(K21&lt;&gt;0, L21/K21, "N.A.")</f>
        <v>-1</v>
      </c>
    </row>
    <row r="22" spans="1:13" ht="13" x14ac:dyDescent="0.25">
      <c r="A22" s="522"/>
      <c r="C22" s="52" t="s">
        <v>91</v>
      </c>
      <c r="E22" s="263"/>
      <c r="F22" s="158"/>
      <c r="G22" s="127"/>
      <c r="H22" s="128"/>
      <c r="J22" s="263"/>
      <c r="K22" s="158"/>
      <c r="L22" s="127"/>
      <c r="M22" s="128"/>
    </row>
    <row r="23" spans="1:13" x14ac:dyDescent="0.25">
      <c r="A23" s="522"/>
      <c r="B23" t="s">
        <v>209</v>
      </c>
      <c r="C23" s="50" t="s">
        <v>437</v>
      </c>
      <c r="E23" s="262">
        <f>SUMIF('IN Act'!$B:$B,$B23,'IN Act'!$P:$P)</f>
        <v>147.24327</v>
      </c>
      <c r="F23" s="185">
        <f>SUMIF('IN Bdg'!$B:$B,$B23,'IN Bdg'!$P:$P)</f>
        <v>677.75860139283202</v>
      </c>
      <c r="G23" s="127">
        <f t="shared" si="1"/>
        <v>-530.51533139283197</v>
      </c>
      <c r="H23" s="128">
        <f t="shared" si="2"/>
        <v>-0.78274968447850479</v>
      </c>
      <c r="J23" s="262">
        <f>SUMIF('IN Act'!$B:$B,$B23,'IN Act'!$Q:$Q)</f>
        <v>147.24327</v>
      </c>
      <c r="K23" s="185">
        <f>SUMIF('IN Bdg'!$B:$B,$B23,'IN Bdg'!$Q:$Q)</f>
        <v>677.75860139283202</v>
      </c>
      <c r="L23" s="127">
        <f>J23-K23</f>
        <v>-530.51533139283197</v>
      </c>
      <c r="M23" s="128">
        <f>IF(K23&lt;&gt;0, L23/K23, "N.A.")</f>
        <v>-0.78274968447850479</v>
      </c>
    </row>
    <row r="24" spans="1:13" x14ac:dyDescent="0.25">
      <c r="A24" s="522"/>
      <c r="B24" t="s">
        <v>210</v>
      </c>
      <c r="C24" s="50" t="s">
        <v>438</v>
      </c>
      <c r="E24" s="263">
        <f>SUMIF('IN Act'!$B:$B,$B24,'IN Act'!$P:$P)</f>
        <v>232.78101000000001</v>
      </c>
      <c r="F24" s="184">
        <f>SUMIF('IN Bdg'!$B:$B,$B24,'IN Bdg'!$P:$P)</f>
        <v>0</v>
      </c>
      <c r="G24" s="127">
        <f t="shared" si="1"/>
        <v>232.78101000000001</v>
      </c>
      <c r="H24" s="128" t="str">
        <f t="shared" si="2"/>
        <v>N.A.</v>
      </c>
      <c r="J24" s="263">
        <f>SUMIF('IN Act'!$B:$B,$B24,'IN Act'!$Q:$Q)</f>
        <v>232.78101000000001</v>
      </c>
      <c r="K24" s="184">
        <f>SUMIF('IN Bdg'!$B:$B,$B24,'IN Bdg'!$Q:$Q)</f>
        <v>0</v>
      </c>
      <c r="L24" s="127">
        <f>J24-K24</f>
        <v>232.78101000000001</v>
      </c>
      <c r="M24" s="128" t="str">
        <f>IF(K24&lt;&gt;0, L24/K24, "N.A.")</f>
        <v>N.A.</v>
      </c>
    </row>
    <row r="25" spans="1:13" x14ac:dyDescent="0.25">
      <c r="A25" s="522"/>
      <c r="B25" t="s">
        <v>211</v>
      </c>
      <c r="C25" s="50" t="s">
        <v>90</v>
      </c>
      <c r="E25" s="263">
        <f>SUMIF('IN Act'!$B:$B,$B25,'IN Act'!$P:$P)</f>
        <v>0</v>
      </c>
      <c r="F25" s="184">
        <f>SUMIF('IN Bdg'!$B:$B,$B25,'IN Bdg'!$P:$P)</f>
        <v>0</v>
      </c>
      <c r="G25" s="127">
        <f t="shared" si="1"/>
        <v>0</v>
      </c>
      <c r="H25" s="128" t="str">
        <f t="shared" si="2"/>
        <v>N.A.</v>
      </c>
      <c r="J25" s="263">
        <f>SUMIF('IN Act'!$B:$B,$B25,'IN Act'!$Q:$Q)</f>
        <v>0</v>
      </c>
      <c r="K25" s="184">
        <f>SUMIF('IN Bdg'!$B:$B,$B25,'IN Bdg'!$Q:$Q)</f>
        <v>0</v>
      </c>
      <c r="L25" s="127">
        <f>J25-K25</f>
        <v>0</v>
      </c>
      <c r="M25" s="128" t="str">
        <f>IF(K25&lt;&gt;0, L25/K25, "N.A.")</f>
        <v>N.A.</v>
      </c>
    </row>
    <row r="26" spans="1:13" x14ac:dyDescent="0.25">
      <c r="A26" s="522"/>
      <c r="B26" t="s">
        <v>212</v>
      </c>
      <c r="C26" s="50" t="s">
        <v>399</v>
      </c>
      <c r="E26" s="263">
        <f>SUMIF('IN Act'!$B:$B,$B26,'IN Act'!$P:$P)</f>
        <v>0</v>
      </c>
      <c r="F26" s="184">
        <f>SUMIF('IN Bdg'!$B:$B,$B26,'IN Bdg'!$P:$P)</f>
        <v>8.6676886663634036</v>
      </c>
      <c r="G26" s="127">
        <f t="shared" si="1"/>
        <v>-8.6676886663634036</v>
      </c>
      <c r="H26" s="128">
        <f t="shared" si="2"/>
        <v>-1</v>
      </c>
      <c r="J26" s="263">
        <f>SUMIF('IN Act'!$B:$B,$B26,'IN Act'!$Q:$Q)</f>
        <v>0</v>
      </c>
      <c r="K26" s="184">
        <f>SUMIF('IN Bdg'!$B:$B,$B26,'IN Bdg'!$Q:$Q)</f>
        <v>8.6676886663634036</v>
      </c>
      <c r="L26" s="127">
        <f>J26-K26</f>
        <v>-8.6676886663634036</v>
      </c>
      <c r="M26" s="128">
        <f>IF(K26&lt;&gt;0, L26/K26, "N.A.")</f>
        <v>-1</v>
      </c>
    </row>
    <row r="27" spans="1:13" ht="13" x14ac:dyDescent="0.3">
      <c r="A27" s="522"/>
      <c r="C27" s="53"/>
      <c r="E27" s="271">
        <f>SUM(E23:E26)</f>
        <v>380.02427999999998</v>
      </c>
      <c r="F27" s="182">
        <f>SUM(F23:F26)</f>
        <v>686.42629005919548</v>
      </c>
      <c r="G27" s="136">
        <f t="shared" si="1"/>
        <v>-306.4020100591955</v>
      </c>
      <c r="H27" s="137">
        <f t="shared" si="2"/>
        <v>-0.44637277810669557</v>
      </c>
      <c r="J27" s="271">
        <f>SUM(J23:J26)</f>
        <v>380.02427999999998</v>
      </c>
      <c r="K27" s="182">
        <f>SUM(K23:K26)</f>
        <v>686.42629005919548</v>
      </c>
      <c r="L27" s="136">
        <f>J27-K27</f>
        <v>-306.4020100591955</v>
      </c>
      <c r="M27" s="137">
        <f>IF(K27&lt;&gt;0, L27/K27, "N.A.")</f>
        <v>-0.44637277810669557</v>
      </c>
    </row>
    <row r="28" spans="1:13" ht="13" thickBot="1" x14ac:dyDescent="0.3">
      <c r="A28" s="523"/>
      <c r="C28" s="54"/>
      <c r="E28" s="262"/>
      <c r="F28" s="5"/>
      <c r="G28" s="123"/>
      <c r="H28" s="124"/>
      <c r="J28" s="262"/>
      <c r="K28" s="5"/>
      <c r="L28" s="123"/>
      <c r="M28" s="124"/>
    </row>
    <row r="29" spans="1:13" ht="14" thickTop="1" thickBot="1" x14ac:dyDescent="0.35">
      <c r="C29" s="55" t="s">
        <v>92</v>
      </c>
      <c r="E29" s="261">
        <f>E17+E21+E27</f>
        <v>389.65796999999998</v>
      </c>
      <c r="F29" s="155">
        <f>F17+F21+F27</f>
        <v>1658.9121163213658</v>
      </c>
      <c r="G29" s="152">
        <f>G17+G21+G27</f>
        <v>-1269.2541463213659</v>
      </c>
      <c r="H29" s="153">
        <f>H17+H21+H27</f>
        <v>-2.4207562184460301</v>
      </c>
      <c r="J29" s="261">
        <f>J17+J21+J27</f>
        <v>389.65796999999998</v>
      </c>
      <c r="K29" s="155">
        <f>K17+K21+K27</f>
        <v>1658.9121163213658</v>
      </c>
      <c r="L29" s="152">
        <f>L17+L21+L27</f>
        <v>-1269.2541463213659</v>
      </c>
      <c r="M29" s="153">
        <f>M17+M21+M27</f>
        <v>-2.4207562184460301</v>
      </c>
    </row>
    <row r="30" spans="1:13" ht="50.25" customHeight="1" x14ac:dyDescent="0.25">
      <c r="A30" s="521" t="s">
        <v>454</v>
      </c>
      <c r="B30" s="92" t="s">
        <v>300</v>
      </c>
      <c r="C30" s="373" t="s">
        <v>450</v>
      </c>
      <c r="E30" s="262">
        <f>SUMIF('IN Act'!$B:$B,$B30,'IN Act'!$P:$P)</f>
        <v>13</v>
      </c>
      <c r="F30" s="158">
        <f>SUMIF('IN Bdg'!$B:$B,$B30,'IN Bdg'!$P:$P)</f>
        <v>29.326530612244898</v>
      </c>
      <c r="G30" s="123">
        <f>E30-F30</f>
        <v>-16.326530612244898</v>
      </c>
      <c r="H30" s="124">
        <f>IF(F30&lt;&gt;0, G30/F30, "N.A.")</f>
        <v>-0.55671537926235215</v>
      </c>
      <c r="J30" s="262">
        <f>SUMIF('IN Act'!$B:$B,$B30,'IN Act'!$Q:$Q)</f>
        <v>13</v>
      </c>
      <c r="K30" s="158">
        <f>SUMIF('IN Bdg'!$B:$B,$B30,'IN Bdg'!$Q:$Q)</f>
        <v>29.326530612244898</v>
      </c>
      <c r="L30" s="123">
        <f>J30-K30</f>
        <v>-16.326530612244898</v>
      </c>
      <c r="M30" s="124">
        <f>IF(K30&lt;&gt;0, L30/K30, "N.A.")</f>
        <v>-0.55671537926235215</v>
      </c>
    </row>
    <row r="31" spans="1:13" x14ac:dyDescent="0.25">
      <c r="A31" s="522"/>
      <c r="B31" s="92" t="s">
        <v>301</v>
      </c>
      <c r="C31" s="373" t="s">
        <v>449</v>
      </c>
      <c r="E31" s="263">
        <f>SUMIF('IN Act'!$B:$B,$B31,'IN Act'!$P:$P)</f>
        <v>777.20686000000001</v>
      </c>
      <c r="F31" s="154">
        <f>SUMIF('IN Bdg'!$B:$B,$B31,'IN Bdg'!$P:$P)</f>
        <v>249.81666666666666</v>
      </c>
      <c r="G31" s="127">
        <f>E31-F31</f>
        <v>527.3901933333334</v>
      </c>
      <c r="H31" s="128">
        <f>IF(F31&lt;&gt;0, G31/F31, "N.A.")</f>
        <v>2.1111089198745749</v>
      </c>
      <c r="I31" s="157"/>
      <c r="J31" s="263">
        <f>SUMIF('IN Act'!$B:$B,$B31,'IN Act'!$Q:$Q)</f>
        <v>777.20686000000001</v>
      </c>
      <c r="K31" s="154">
        <f>SUMIF('IN Bdg'!$B:$B,$B31,'IN Bdg'!$Q:$Q)</f>
        <v>249.81666666666666</v>
      </c>
      <c r="L31" s="127">
        <f>J31-K31</f>
        <v>527.3901933333334</v>
      </c>
      <c r="M31" s="128">
        <f>IF(K31&lt;&gt;0, L31/K31, "N.A.")</f>
        <v>2.1111089198745749</v>
      </c>
    </row>
    <row r="32" spans="1:13" x14ac:dyDescent="0.25">
      <c r="A32" s="522"/>
      <c r="B32" s="92" t="s">
        <v>302</v>
      </c>
      <c r="C32" s="373" t="s">
        <v>451</v>
      </c>
      <c r="E32" s="263">
        <f>SUMIF('IN Act'!$B:$B,$B32,'IN Act'!$P:$P)</f>
        <v>0</v>
      </c>
      <c r="F32" s="154">
        <f>SUMIF('IN Bdg'!$B:$B,$B32,'IN Bdg'!$P:$P)</f>
        <v>149.11258333333333</v>
      </c>
      <c r="G32" s="127">
        <f>E32-F32</f>
        <v>-149.11258333333333</v>
      </c>
      <c r="H32" s="128">
        <f>IF(F32&lt;&gt;0, G32/F32, "N.A.")</f>
        <v>-1</v>
      </c>
      <c r="I32" s="157"/>
      <c r="J32" s="263">
        <f>SUMIF('IN Act'!$B:$B,$B32,'IN Act'!$Q:$Q)</f>
        <v>0</v>
      </c>
      <c r="K32" s="154">
        <f>SUMIF('IN Bdg'!$B:$B,$B32,'IN Bdg'!$Q:$Q)</f>
        <v>149.11258333333333</v>
      </c>
      <c r="L32" s="127">
        <f>J32-K32</f>
        <v>-149.11258333333333</v>
      </c>
      <c r="M32" s="128">
        <f>IF(K32&lt;&gt;0, L32/K32, "N.A.")</f>
        <v>-1</v>
      </c>
    </row>
    <row r="33" spans="1:13" x14ac:dyDescent="0.25">
      <c r="A33" s="522"/>
      <c r="B33" s="92"/>
      <c r="C33" s="373"/>
      <c r="E33" s="263">
        <f>SUMIF('IN Act'!$B:$B,$B33,'IN Act'!$P:$P)</f>
        <v>0</v>
      </c>
      <c r="F33" s="154">
        <f>SUMIF('IN Bdg'!$B:$B,$B33,'IN Bdg'!$P:$P)</f>
        <v>0</v>
      </c>
      <c r="G33" s="127">
        <f>E33-F33</f>
        <v>0</v>
      </c>
      <c r="H33" s="128" t="str">
        <f>IF(F33&lt;&gt;0, G33/F33, "N.A.")</f>
        <v>N.A.</v>
      </c>
      <c r="I33" s="157"/>
      <c r="J33" s="263">
        <f>SUMIF('IN Act'!$B:$B,$B33,'IN Act'!$Q:$Q)</f>
        <v>0</v>
      </c>
      <c r="K33" s="154">
        <f>SUMIF('IN Bdg'!$B:$B,$B33,'IN Bdg'!$Q:$Q)</f>
        <v>0</v>
      </c>
      <c r="L33" s="127">
        <f>J33-K33</f>
        <v>0</v>
      </c>
      <c r="M33" s="128" t="str">
        <f>IF(K33&lt;&gt;0, L33/K33, "N.A.")</f>
        <v>N.A.</v>
      </c>
    </row>
    <row r="34" spans="1:13" x14ac:dyDescent="0.25">
      <c r="A34" s="522"/>
      <c r="B34" s="92" t="s">
        <v>303</v>
      </c>
      <c r="C34" s="373" t="s">
        <v>448</v>
      </c>
      <c r="E34" s="263">
        <f>SUMIF('IN Act'!$B:$B,$B34,'IN Act'!$P:$P)</f>
        <v>509</v>
      </c>
      <c r="F34" s="154">
        <f>SUMIF('IN Bdg'!$B:$B,$B34,'IN Bdg'!$P:$P)</f>
        <v>203.38923499999981</v>
      </c>
      <c r="G34" s="127">
        <f>E34-F34</f>
        <v>305.61076500000019</v>
      </c>
      <c r="H34" s="128">
        <f>IF(F34&lt;&gt;0, G34/F34, "N.A.")</f>
        <v>1.5025906607102411</v>
      </c>
      <c r="I34" s="157"/>
      <c r="J34" s="263">
        <f>SUMIF('IN Act'!$B:$B,$B34,'IN Act'!$Q:$Q)</f>
        <v>509</v>
      </c>
      <c r="K34" s="154">
        <f>SUMIF('IN Bdg'!$B:$B,$B34,'IN Bdg'!$Q:$Q)</f>
        <v>203.38923499999981</v>
      </c>
      <c r="L34" s="127">
        <f>J34-K34</f>
        <v>305.61076500000019</v>
      </c>
      <c r="M34" s="128">
        <f>IF(K34&lt;&gt;0, L34/K34, "N.A.")</f>
        <v>1.5025906607102411</v>
      </c>
    </row>
    <row r="35" spans="1:13" x14ac:dyDescent="0.25">
      <c r="A35" s="522"/>
      <c r="B35" s="92" t="s">
        <v>304</v>
      </c>
      <c r="C35" s="374" t="s">
        <v>447</v>
      </c>
      <c r="E35" s="263">
        <f>SUMIF('IN Act'!$B:$B,$B35,'IN Act'!$P:$P)</f>
        <v>950</v>
      </c>
      <c r="F35" s="154">
        <f>SUMIF('IN Bdg'!$B:$B,$B35,'IN Bdg'!$P:$P)</f>
        <v>0</v>
      </c>
      <c r="G35" s="127"/>
      <c r="H35" s="128"/>
      <c r="I35" s="157"/>
      <c r="J35" s="263">
        <f>SUMIF('IN Act'!$B:$B,$B35,'IN Act'!$Q:$Q)</f>
        <v>950</v>
      </c>
      <c r="K35" s="154">
        <f>SUMIF('IN Bdg'!$B:$B,$B35,'IN Bdg'!$Q:$Q)</f>
        <v>0</v>
      </c>
      <c r="L35" s="127"/>
      <c r="M35" s="128"/>
    </row>
    <row r="36" spans="1:13" ht="13" thickBot="1" x14ac:dyDescent="0.3">
      <c r="A36" s="523"/>
      <c r="C36" s="54"/>
      <c r="E36" s="262"/>
      <c r="F36" s="5"/>
      <c r="G36" s="123"/>
      <c r="H36" s="124"/>
      <c r="J36" s="262"/>
      <c r="K36" s="5"/>
      <c r="L36" s="123"/>
      <c r="M36" s="124"/>
    </row>
    <row r="37" spans="1:13" ht="14" thickTop="1" thickBot="1" x14ac:dyDescent="0.35">
      <c r="C37" s="55" t="s">
        <v>453</v>
      </c>
      <c r="E37" s="261">
        <f>SUM(E30:E35)</f>
        <v>2249.2068600000002</v>
      </c>
      <c r="F37" s="156">
        <f>SUM(F30:F35)</f>
        <v>631.64501561224461</v>
      </c>
      <c r="G37" s="152">
        <f>E37-F37</f>
        <v>1617.5618443877556</v>
      </c>
      <c r="H37" s="153">
        <f>IF(F37&lt;&gt;0, G37/F37, "N.A.")</f>
        <v>2.5608716991455647</v>
      </c>
      <c r="J37" s="261">
        <f>SUM(J30:J35)</f>
        <v>2249.2068600000002</v>
      </c>
      <c r="K37" s="156">
        <f>SUM(K30:K35)</f>
        <v>631.64501561224461</v>
      </c>
      <c r="L37" s="150">
        <f>J37-K37</f>
        <v>1617.5618443877556</v>
      </c>
      <c r="M37" s="151">
        <f>IF(K37&lt;&gt;0, L37/K37, "N.A.")</f>
        <v>2.5608716991455647</v>
      </c>
    </row>
    <row r="38" spans="1:13" ht="39" customHeight="1" x14ac:dyDescent="0.3">
      <c r="A38" s="521" t="s">
        <v>452</v>
      </c>
      <c r="C38" s="56" t="s">
        <v>93</v>
      </c>
      <c r="E38" s="262"/>
      <c r="F38" s="5"/>
      <c r="G38" s="123"/>
      <c r="H38" s="124"/>
      <c r="J38" s="262"/>
      <c r="K38" s="5"/>
      <c r="L38" s="123"/>
      <c r="M38" s="124"/>
    </row>
    <row r="39" spans="1:13" x14ac:dyDescent="0.25">
      <c r="A39" s="522"/>
      <c r="B39" t="s">
        <v>305</v>
      </c>
      <c r="C39" s="57" t="s">
        <v>94</v>
      </c>
      <c r="E39" s="263">
        <f>SUMIF('IN Act'!$B:$B,$B39,'IN Act'!$P:$P)</f>
        <v>104.13306</v>
      </c>
      <c r="F39" s="127">
        <f>SUMIF('IN Bdg'!$B:$B,$B39,'IN Bdg'!$P:$P)</f>
        <v>38.6</v>
      </c>
      <c r="G39" s="127">
        <f>E39-F39</f>
        <v>65.533060000000006</v>
      </c>
      <c r="H39" s="128">
        <f>IF(F39&lt;&gt;0, G39/F39, "N.A.")</f>
        <v>1.6977476683937824</v>
      </c>
      <c r="J39" s="263">
        <f>SUMIF('IN Act'!$B:$B,$B39,'IN Act'!$Q:$Q)</f>
        <v>104.13306</v>
      </c>
      <c r="K39" s="127">
        <f>SUMIF('IN Bdg'!$B:$B,$B39,'IN Bdg'!$Q:$Q)</f>
        <v>38.6</v>
      </c>
      <c r="L39" s="127">
        <f>J39-K39</f>
        <v>65.533060000000006</v>
      </c>
      <c r="M39" s="128">
        <f>IF(K39&lt;&gt;0, L39/K39, "N.A.")</f>
        <v>1.6977476683937824</v>
      </c>
    </row>
    <row r="40" spans="1:13" x14ac:dyDescent="0.25">
      <c r="A40" s="522"/>
      <c r="B40" t="s">
        <v>306</v>
      </c>
      <c r="C40" s="57" t="s">
        <v>443</v>
      </c>
      <c r="E40" s="263">
        <f>SUMIF('IN Act'!$B:$B,$B40,'IN Act'!$P:$P)</f>
        <v>0</v>
      </c>
      <c r="F40" s="127">
        <f>SUMIF('IN Bdg'!$B:$B,$B40,'IN Bdg'!$P:$P)</f>
        <v>70.022499999999994</v>
      </c>
      <c r="G40" s="127">
        <f>E40-F40</f>
        <v>-70.022499999999994</v>
      </c>
      <c r="H40" s="128">
        <f>IF(F40&lt;&gt;0, G40/F40, "N.A.")</f>
        <v>-1</v>
      </c>
      <c r="J40" s="263">
        <f>SUMIF('IN Act'!$B:$B,$B40,'IN Act'!$Q:$Q)</f>
        <v>0</v>
      </c>
      <c r="K40" s="127">
        <f>SUMIF('IN Bdg'!$B:$B,$B40,'IN Bdg'!$Q:$Q)</f>
        <v>70.022499999999994</v>
      </c>
      <c r="L40" s="125">
        <f>J40-K40</f>
        <v>-70.022499999999994</v>
      </c>
      <c r="M40" s="126">
        <f>IF(K40&lt;&gt;0, L40/K40, "N.A.")</f>
        <v>-1</v>
      </c>
    </row>
    <row r="41" spans="1:13" x14ac:dyDescent="0.25">
      <c r="A41" s="522"/>
      <c r="B41" t="s">
        <v>307</v>
      </c>
      <c r="C41" s="11" t="s">
        <v>96</v>
      </c>
      <c r="E41" s="262">
        <f>SUMIF('IN Act'!$B:$B,$B41,'IN Act'!$P:$P)</f>
        <v>6.7980700000000018</v>
      </c>
      <c r="F41" s="123">
        <f>SUMIF('IN Bdg'!$B:$B,$B41,'IN Bdg'!$P:$P)</f>
        <v>10.6</v>
      </c>
      <c r="G41" s="123">
        <f>E41-F41</f>
        <v>-3.8019299999999978</v>
      </c>
      <c r="H41" s="124">
        <f>IF(F41&lt;&gt;0, G41/F41, "N.A.")</f>
        <v>-0.35867264150943379</v>
      </c>
      <c r="J41" s="262">
        <f>SUMIF('IN Act'!$B:$B,$B41,'IN Act'!$Q:$Q)</f>
        <v>6.7980700000000018</v>
      </c>
      <c r="K41" s="123">
        <f>SUMIF('IN Bdg'!$B:$B,$B41,'IN Bdg'!$Q:$Q)</f>
        <v>10.6</v>
      </c>
      <c r="L41" s="123">
        <f>J41-K41</f>
        <v>-3.8019299999999978</v>
      </c>
      <c r="M41" s="124">
        <f>IF(K41&lt;&gt;0, L41/K41, "N.A.")</f>
        <v>-0.35867264150943379</v>
      </c>
    </row>
    <row r="42" spans="1:13" ht="13.5" thickBot="1" x14ac:dyDescent="0.35">
      <c r="A42" s="522"/>
      <c r="C42" s="58" t="s">
        <v>97</v>
      </c>
      <c r="E42" s="265">
        <f>SUM(E39:E41)</f>
        <v>110.93113</v>
      </c>
      <c r="F42" s="148">
        <f>SUM(F39:F41)</f>
        <v>119.2225</v>
      </c>
      <c r="G42" s="148">
        <f>E42-F42</f>
        <v>-8.2913700000000006</v>
      </c>
      <c r="H42" s="149">
        <f>IF(F42&lt;&gt;0, G42/F42, "N.A.")</f>
        <v>-6.9545345886892165E-2</v>
      </c>
      <c r="J42" s="265">
        <f>SUM(J39:J41)</f>
        <v>110.93113</v>
      </c>
      <c r="K42" s="148">
        <f>SUM(K39:K41)</f>
        <v>119.2225</v>
      </c>
      <c r="L42" s="148">
        <f>J42-K42</f>
        <v>-8.2913700000000006</v>
      </c>
      <c r="M42" s="149">
        <f>IF(K42&lt;&gt;0, L42/K42, "N.A.")</f>
        <v>-6.9545345886892165E-2</v>
      </c>
    </row>
    <row r="43" spans="1:13" ht="13.5" thickTop="1" x14ac:dyDescent="0.3">
      <c r="A43" s="522"/>
      <c r="C43" s="21"/>
      <c r="E43" s="262"/>
      <c r="F43" s="123"/>
      <c r="G43" s="123"/>
      <c r="H43" s="124"/>
      <c r="J43" s="262"/>
      <c r="K43" s="123"/>
      <c r="L43" s="123"/>
      <c r="M43" s="124"/>
    </row>
    <row r="44" spans="1:13" ht="13" x14ac:dyDescent="0.3">
      <c r="A44" s="522"/>
      <c r="C44" s="21" t="s">
        <v>444</v>
      </c>
      <c r="E44" s="262"/>
      <c r="F44" s="123"/>
      <c r="G44" s="123"/>
      <c r="H44" s="124"/>
      <c r="J44" s="262"/>
      <c r="K44" s="123"/>
      <c r="L44" s="123"/>
      <c r="M44" s="124"/>
    </row>
    <row r="45" spans="1:13" x14ac:dyDescent="0.25">
      <c r="A45" s="522"/>
      <c r="B45" t="s">
        <v>308</v>
      </c>
      <c r="C45" s="57" t="s">
        <v>98</v>
      </c>
      <c r="E45" s="263">
        <f>SUMIF('IN Act'!$B:$B,$B45,'IN Act'!$P:$P)</f>
        <v>0</v>
      </c>
      <c r="F45" s="127">
        <f>SUMIF('IN Bdg'!$B:$B,$B45,'IN Bdg'!$P:$P)</f>
        <v>84.6004004729798</v>
      </c>
      <c r="G45" s="127">
        <f>E45-F45</f>
        <v>-84.6004004729798</v>
      </c>
      <c r="H45" s="128">
        <f>IF(F45&lt;&gt;0, G45/F45, "N.A.")</f>
        <v>-1</v>
      </c>
      <c r="J45" s="263">
        <f>SUMIF('IN Act'!$B:$B,$B45,'IN Act'!$Q:$Q)</f>
        <v>0</v>
      </c>
      <c r="K45" s="127">
        <f>SUMIF('IN Bdg'!$B:$B,$B45,'IN Bdg'!$Q:$Q)</f>
        <v>84.6004004729798</v>
      </c>
      <c r="L45" s="127">
        <f>J45-K45</f>
        <v>-84.6004004729798</v>
      </c>
      <c r="M45" s="128">
        <f>IF(K45&lt;&gt;0, L45/K45, "N.A.")</f>
        <v>-1</v>
      </c>
    </row>
    <row r="46" spans="1:13" x14ac:dyDescent="0.25">
      <c r="A46" s="522"/>
      <c r="B46" t="s">
        <v>309</v>
      </c>
      <c r="C46" s="57" t="s">
        <v>99</v>
      </c>
      <c r="E46" s="263">
        <f>SUMIF('IN Act'!$B:$B,$B46,'IN Act'!$P:$P)</f>
        <v>0</v>
      </c>
      <c r="F46" s="127">
        <f>SUMIF('IN Bdg'!$B:$B,$B46,'IN Bdg'!$P:$P)</f>
        <v>78.090081211111098</v>
      </c>
      <c r="G46" s="127">
        <f>E46-F46</f>
        <v>-78.090081211111098</v>
      </c>
      <c r="H46" s="128">
        <f>IF(F46&lt;&gt;0, G46/F46, "N.A.")</f>
        <v>-1</v>
      </c>
      <c r="J46" s="263">
        <f>SUMIF('IN Act'!$B:$B,$B46,'IN Act'!$Q:$Q)</f>
        <v>0</v>
      </c>
      <c r="K46" s="127">
        <f>SUMIF('IN Bdg'!$B:$B,$B46,'IN Bdg'!$Q:$Q)</f>
        <v>78.090081211111098</v>
      </c>
      <c r="L46" s="125">
        <f>J46-K46</f>
        <v>-78.090081211111098</v>
      </c>
      <c r="M46" s="126">
        <f>IF(K46&lt;&gt;0, L46/K46, "N.A.")</f>
        <v>-1</v>
      </c>
    </row>
    <row r="47" spans="1:13" x14ac:dyDescent="0.25">
      <c r="A47" s="522"/>
      <c r="B47" t="s">
        <v>310</v>
      </c>
      <c r="C47" s="11" t="s">
        <v>100</v>
      </c>
      <c r="E47" s="262">
        <f>SUMIF('IN Act'!$B:$B,$B47,'IN Act'!$P:$P)</f>
        <v>0</v>
      </c>
      <c r="F47" s="123">
        <f>SUMIF('IN Bdg'!$B:$B,$B47,'IN Bdg'!$P:$P)</f>
        <v>5.7214541666666658</v>
      </c>
      <c r="G47" s="123">
        <f>E47-F47</f>
        <v>-5.7214541666666658</v>
      </c>
      <c r="H47" s="124">
        <f>IF(F47&lt;&gt;0, G47/F47, "N.A.")</f>
        <v>-1</v>
      </c>
      <c r="J47" s="262">
        <f>SUMIF('IN Act'!$B:$B,$B47,'IN Act'!$Q:$Q)</f>
        <v>0</v>
      </c>
      <c r="K47" s="123">
        <f>SUMIF('IN Bdg'!$B:$B,$B47,'IN Bdg'!$Q:$Q)</f>
        <v>5.7214541666666658</v>
      </c>
      <c r="L47" s="123">
        <f>J47-K47</f>
        <v>-5.7214541666666658</v>
      </c>
      <c r="M47" s="124">
        <f>IF(K47&lt;&gt;0, L47/K47, "N.A.")</f>
        <v>-1</v>
      </c>
    </row>
    <row r="48" spans="1:13" ht="13.5" thickBot="1" x14ac:dyDescent="0.35">
      <c r="A48" s="522"/>
      <c r="C48" s="58" t="s">
        <v>101</v>
      </c>
      <c r="E48" s="265">
        <f>SUM(E45:E47)</f>
        <v>0</v>
      </c>
      <c r="F48" s="148">
        <f>SUM(F45:F47)</f>
        <v>168.41193585075757</v>
      </c>
      <c r="G48" s="148">
        <f>E48-F48</f>
        <v>-168.41193585075757</v>
      </c>
      <c r="H48" s="149">
        <f>IF(F48&lt;&gt;0, G48/F48, "N.A.")</f>
        <v>-1</v>
      </c>
      <c r="J48" s="265">
        <f>SUM(J45:J47)</f>
        <v>0</v>
      </c>
      <c r="K48" s="148">
        <f>SUM(K45:K47)</f>
        <v>168.41193585075757</v>
      </c>
      <c r="L48" s="148">
        <f>J48-K48</f>
        <v>-168.41193585075757</v>
      </c>
      <c r="M48" s="149">
        <f>IF(K48&lt;&gt;0, L48/K48, "N.A.")</f>
        <v>-1</v>
      </c>
    </row>
    <row r="49" spans="1:13" ht="13" thickTop="1" x14ac:dyDescent="0.25">
      <c r="A49" s="522"/>
      <c r="C49" s="59"/>
      <c r="E49" s="262"/>
      <c r="F49" s="123"/>
      <c r="G49" s="123"/>
      <c r="H49" s="124"/>
      <c r="J49" s="262"/>
      <c r="K49" s="123"/>
      <c r="L49" s="123"/>
      <c r="M49" s="124"/>
    </row>
    <row r="50" spans="1:13" ht="13.5" thickBot="1" x14ac:dyDescent="0.35">
      <c r="A50" s="523"/>
      <c r="C50" s="16" t="s">
        <v>425</v>
      </c>
      <c r="E50" s="266">
        <f>E42+E48</f>
        <v>110.93113</v>
      </c>
      <c r="F50" s="131">
        <f>F42+F48</f>
        <v>287.63443585075754</v>
      </c>
      <c r="G50" s="131">
        <f>E50-F50</f>
        <v>-176.70330585075754</v>
      </c>
      <c r="H50" s="132">
        <f>IF(F50&lt;&gt;0, G50/F50, "N.A.")</f>
        <v>-0.61433293036735737</v>
      </c>
      <c r="J50" s="266">
        <f>J42+J48</f>
        <v>110.93113</v>
      </c>
      <c r="K50" s="131">
        <f>K42+K48</f>
        <v>287.63443585075754</v>
      </c>
      <c r="L50" s="131">
        <f>J50-K50</f>
        <v>-176.70330585075754</v>
      </c>
      <c r="M50" s="132">
        <f>IF(K50&lt;&gt;0, L50/K50, "N.A.")</f>
        <v>-0.61433293036735737</v>
      </c>
    </row>
  </sheetData>
  <sheetCalcPr fullCalcOnLoad="1"/>
  <mergeCells count="3">
    <mergeCell ref="A10:A28"/>
    <mergeCell ref="A30:A36"/>
    <mergeCell ref="A38:A50"/>
  </mergeCells>
  <phoneticPr fontId="24" type="noConversion"/>
  <printOptions horizontalCentered="1" verticalCentered="1"/>
  <pageMargins left="0.78740157480314965" right="0.78740157480314965" top="0.31496062992125984" bottom="0.27559055118110237" header="0.19685039370078741" footer="0.15748031496062992"/>
  <pageSetup paperSize="9" scale="75" orientation="landscape" r:id="rId1"/>
  <headerFooter alignWithMargins="0">
    <oddFooter>&amp;LOp.Hop Inc&amp;C&amp;P</oddFooter>
  </headerFooter>
  <rowBreaks count="2" manualBreakCount="2">
    <brk id="29" min="2" max="12" man="1"/>
    <brk id="37" min="2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showGridLines="0" zoomScale="75" zoomScaleNormal="75" workbookViewId="0">
      <pane xSplit="4" ySplit="9" topLeftCell="E10" activePane="bottomRight" state="frozen"/>
      <selection activeCell="C13" sqref="C11:E14"/>
      <selection pane="topRight" activeCell="C13" sqref="C11:E14"/>
      <selection pane="bottomLeft" activeCell="C13" sqref="C11:E14"/>
      <selection pane="bottomRight" activeCell="E10" sqref="E10"/>
    </sheetView>
  </sheetViews>
  <sheetFormatPr defaultRowHeight="12.5" x14ac:dyDescent="0.25"/>
  <cols>
    <col min="1" max="1" width="5" bestFit="1" customWidth="1"/>
    <col min="2" max="2" width="9.453125" customWidth="1"/>
    <col min="3" max="3" width="28.453125" bestFit="1" customWidth="1"/>
    <col min="4" max="4" width="1.7265625" customWidth="1"/>
    <col min="5" max="5" width="9.81640625" bestFit="1" customWidth="1"/>
    <col min="6" max="6" width="9.26953125" bestFit="1" customWidth="1"/>
    <col min="7" max="7" width="10.1796875" bestFit="1" customWidth="1"/>
    <col min="8" max="8" width="11.81640625" bestFit="1" customWidth="1"/>
    <col min="9" max="9" width="1.54296875" customWidth="1"/>
    <col min="10" max="10" width="9.81640625" bestFit="1" customWidth="1"/>
    <col min="11" max="11" width="10.7265625" customWidth="1"/>
    <col min="12" max="12" width="10.1796875" bestFit="1" customWidth="1"/>
    <col min="13" max="13" width="11.81640625" bestFit="1" customWidth="1"/>
  </cols>
  <sheetData>
    <row r="1" spans="1:13" ht="13" x14ac:dyDescent="0.3">
      <c r="C1" s="8" t="str">
        <f>'P&amp;L'!C1</f>
        <v>Op.Hop Inc</v>
      </c>
    </row>
    <row r="2" spans="1:13" ht="13" x14ac:dyDescent="0.3">
      <c r="C2" s="9" t="str">
        <f>Month</f>
        <v>January 2025</v>
      </c>
    </row>
    <row r="3" spans="1:13" ht="13" x14ac:dyDescent="0.3">
      <c r="C3" s="8" t="str">
        <f>'P&amp;L'!C3</f>
        <v>EUR/1000</v>
      </c>
    </row>
    <row r="4" spans="1:13" ht="42.75" customHeight="1" thickBot="1" x14ac:dyDescent="0.3"/>
    <row r="5" spans="1:13" ht="13.5" thickBot="1" x14ac:dyDescent="0.35">
      <c r="C5" s="60"/>
      <c r="E5" s="74" t="str">
        <f>UPPER(Cov!$D$20)</f>
        <v>JANUARY 2025</v>
      </c>
      <c r="F5" s="75"/>
      <c r="G5" s="75"/>
      <c r="H5" s="76"/>
      <c r="J5" s="74" t="str">
        <f>"YTD "&amp;UPPER(Cov!$D$20)</f>
        <v>YTD JANUARY 2025</v>
      </c>
      <c r="K5" s="75"/>
      <c r="L5" s="75"/>
      <c r="M5" s="76"/>
    </row>
    <row r="6" spans="1:13" ht="13.5" thickBot="1" x14ac:dyDescent="0.35">
      <c r="C6" s="21"/>
      <c r="E6" s="77"/>
      <c r="F6" s="78"/>
      <c r="G6" s="78"/>
      <c r="H6" s="78"/>
      <c r="I6" s="78"/>
      <c r="J6" s="78"/>
      <c r="L6" s="77"/>
      <c r="M6" s="78"/>
    </row>
    <row r="7" spans="1:13" ht="13" x14ac:dyDescent="0.3">
      <c r="C7" s="22" t="s">
        <v>20</v>
      </c>
      <c r="E7" s="115" t="s">
        <v>157</v>
      </c>
      <c r="F7" s="116" t="s">
        <v>158</v>
      </c>
      <c r="G7" s="117" t="s">
        <v>154</v>
      </c>
      <c r="H7" s="118"/>
      <c r="I7" s="119"/>
      <c r="J7" s="115" t="s">
        <v>157</v>
      </c>
      <c r="K7" s="116" t="s">
        <v>158</v>
      </c>
      <c r="L7" s="117" t="s">
        <v>154</v>
      </c>
      <c r="M7" s="118"/>
    </row>
    <row r="8" spans="1:13" ht="13.5" thickBot="1" x14ac:dyDescent="0.35">
      <c r="C8" s="16"/>
      <c r="E8" s="120" t="s">
        <v>155</v>
      </c>
      <c r="F8" s="121" t="s">
        <v>155</v>
      </c>
      <c r="G8" s="122" t="s">
        <v>155</v>
      </c>
      <c r="H8" s="81" t="s">
        <v>156</v>
      </c>
      <c r="I8" s="119"/>
      <c r="J8" s="120" t="s">
        <v>155</v>
      </c>
      <c r="K8" s="121" t="s">
        <v>155</v>
      </c>
      <c r="L8" s="122" t="s">
        <v>155</v>
      </c>
      <c r="M8" s="81" t="s">
        <v>156</v>
      </c>
    </row>
    <row r="9" spans="1:13" ht="13.5" thickBot="1" x14ac:dyDescent="0.35">
      <c r="C9" s="60"/>
      <c r="E9" s="186"/>
      <c r="F9" s="187"/>
      <c r="G9" s="188"/>
      <c r="H9" s="189"/>
      <c r="I9" s="119"/>
      <c r="J9" s="186"/>
      <c r="K9" s="187"/>
      <c r="L9" s="188"/>
      <c r="M9" s="189"/>
    </row>
    <row r="10" spans="1:13" ht="12.75" customHeight="1" x14ac:dyDescent="0.25">
      <c r="A10" s="524" t="s">
        <v>327</v>
      </c>
      <c r="B10" t="s">
        <v>372</v>
      </c>
      <c r="C10" s="62" t="s">
        <v>102</v>
      </c>
      <c r="E10" s="159">
        <f>SUMIF('IN Act'!$B:$B,$B10,'IN Act'!$P:$P)</f>
        <v>1048.5089300000002</v>
      </c>
      <c r="F10" s="162">
        <f>SUMIF('IN Bdg'!$B:$B,$B10,'IN Bdg'!$P:$P)</f>
        <v>889.32110592496008</v>
      </c>
      <c r="G10" s="123">
        <f>E10-F10</f>
        <v>159.18782407504011</v>
      </c>
      <c r="H10" s="124">
        <f>IF(F10&lt;&gt;0, G10/F10, "N.A.")</f>
        <v>0.17899926473629899</v>
      </c>
      <c r="J10" s="159">
        <f>SUMIF('IN Act'!$B:$B,$B10,'IN Act'!$Q:$Q)</f>
        <v>1048.5089300000002</v>
      </c>
      <c r="K10" s="162">
        <f>SUMIF('IN Bdg'!$B:$B,$B10,'IN Bdg'!$Q:$Q)</f>
        <v>889.32110592496008</v>
      </c>
      <c r="L10" s="123">
        <f>J10-K10</f>
        <v>159.18782407504011</v>
      </c>
      <c r="M10" s="124">
        <f>IF(K10&lt;&gt;0, L10/K10, "N.A.")</f>
        <v>0.17899926473629899</v>
      </c>
    </row>
    <row r="11" spans="1:13" x14ac:dyDescent="0.25">
      <c r="A11" s="525"/>
      <c r="B11" t="s">
        <v>379</v>
      </c>
      <c r="C11" s="62" t="s">
        <v>384</v>
      </c>
      <c r="E11" s="161">
        <f>SUMIF('IN Act'!$B:$B,$B11,'IN Act'!$P:$P)</f>
        <v>0</v>
      </c>
      <c r="F11" s="127">
        <f>SUMIF('IN Bdg'!$B:$B,$B11,'IN Bdg'!$P:$P)</f>
        <v>52</v>
      </c>
      <c r="G11" s="127">
        <f>E11-F11</f>
        <v>-52</v>
      </c>
      <c r="H11" s="128">
        <f>IF(F11&lt;&gt;0, G11/F11, "N.A.")</f>
        <v>-1</v>
      </c>
      <c r="J11" s="161">
        <f>SUMIF('IN Act'!$B:$B,$B11,'IN Act'!$Q:$Q)</f>
        <v>0</v>
      </c>
      <c r="K11" s="127">
        <f>SUMIF('IN Bdg'!$B:$B,$B11,'IN Bdg'!$Q:$Q)</f>
        <v>52</v>
      </c>
      <c r="L11" s="127">
        <f>J11-K11</f>
        <v>-52</v>
      </c>
      <c r="M11" s="128">
        <f>IF(K11&lt;&gt;0, L11/K11, "N.A.")</f>
        <v>-1</v>
      </c>
    </row>
    <row r="12" spans="1:13" x14ac:dyDescent="0.25">
      <c r="A12" s="525"/>
      <c r="B12" t="s">
        <v>373</v>
      </c>
      <c r="C12" s="62" t="s">
        <v>103</v>
      </c>
      <c r="E12" s="161">
        <f>SUMIF('IN Act'!$B:$B,$B12,'IN Act'!$P:$P)</f>
        <v>0</v>
      </c>
      <c r="F12" s="127">
        <f>SUMIF('IN Bdg'!$B:$B,$B12,'IN Bdg'!$P:$P)</f>
        <v>175.75760323282057</v>
      </c>
      <c r="G12" s="127">
        <f>E12-F12</f>
        <v>-175.75760323282057</v>
      </c>
      <c r="H12" s="128">
        <f>IF(F12&lt;&gt;0, G12/F12, "N.A.")</f>
        <v>-1</v>
      </c>
      <c r="J12" s="161">
        <f>SUMIF('IN Act'!$B:$B,$B12,'IN Act'!$Q:$Q)</f>
        <v>0</v>
      </c>
      <c r="K12" s="127">
        <f>SUMIF('IN Bdg'!$B:$B,$B12,'IN Bdg'!$Q:$Q)</f>
        <v>175.75760323282057</v>
      </c>
      <c r="L12" s="127">
        <f>J12-K12</f>
        <v>-175.75760323282057</v>
      </c>
      <c r="M12" s="128">
        <f>IF(K12&lt;&gt;0, L12/K12, "N.A.")</f>
        <v>-1</v>
      </c>
    </row>
    <row r="13" spans="1:13" x14ac:dyDescent="0.25">
      <c r="A13" s="525"/>
      <c r="B13" t="s">
        <v>374</v>
      </c>
      <c r="C13" s="62" t="s">
        <v>385</v>
      </c>
      <c r="E13" s="161">
        <f>SUMIF('IN Act'!$B:$B,$B13,'IN Act'!$P:$P)</f>
        <v>47.969459999999991</v>
      </c>
      <c r="F13" s="127">
        <f>SUMIF('IN Bdg'!$B:$B,$B13,'IN Bdg'!$P:$P)</f>
        <v>44.752410069448764</v>
      </c>
      <c r="G13" s="127">
        <f>E13-F13</f>
        <v>3.2170499305512266</v>
      </c>
      <c r="H13" s="128">
        <f>IF(F13&lt;&gt;0, G13/F13, "N.A.")</f>
        <v>7.1885512435170898E-2</v>
      </c>
      <c r="J13" s="161">
        <f>SUMIF('IN Act'!$B:$B,$B13,'IN Act'!$Q:$Q)</f>
        <v>47.969459999999991</v>
      </c>
      <c r="K13" s="127">
        <f>SUMIF('IN Bdg'!$B:$B,$B13,'IN Bdg'!$Q:$Q)</f>
        <v>44.752410069448764</v>
      </c>
      <c r="L13" s="127">
        <f>J13-K13</f>
        <v>3.2170499305512266</v>
      </c>
      <c r="M13" s="128">
        <f>IF(K13&lt;&gt;0, L13/K13, "N.A.")</f>
        <v>7.1885512435170898E-2</v>
      </c>
    </row>
    <row r="14" spans="1:13" s="8" customFormat="1" ht="13" x14ac:dyDescent="0.3">
      <c r="A14" s="525"/>
      <c r="B14"/>
      <c r="C14" s="63" t="s">
        <v>104</v>
      </c>
      <c r="E14" s="163">
        <f>SUM(E10:E13)</f>
        <v>1096.4783900000002</v>
      </c>
      <c r="F14" s="136">
        <f>SUM(F10:F13)</f>
        <v>1161.8311192272295</v>
      </c>
      <c r="G14" s="136">
        <f>E14-F14</f>
        <v>-65.352729227229247</v>
      </c>
      <c r="H14" s="137">
        <f>IF(F14&lt;&gt;0, G14/F14, "N.A.")</f>
        <v>-5.6249766550148364E-2</v>
      </c>
      <c r="J14" s="163">
        <f>SUM(J10:J13)</f>
        <v>1096.4783900000002</v>
      </c>
      <c r="K14" s="136">
        <f>SUM(K10:K13)</f>
        <v>1161.8311192272295</v>
      </c>
      <c r="L14" s="136">
        <f>J14-K14</f>
        <v>-65.352729227229247</v>
      </c>
      <c r="M14" s="137">
        <f>IF(K14&lt;&gt;0, L14/K14, "N.A.")</f>
        <v>-5.6249766550148364E-2</v>
      </c>
    </row>
    <row r="15" spans="1:13" x14ac:dyDescent="0.25">
      <c r="A15" s="525"/>
      <c r="C15" s="62"/>
      <c r="E15" s="4"/>
      <c r="F15" s="5"/>
      <c r="G15" s="123"/>
      <c r="H15" s="124"/>
      <c r="J15" s="159"/>
      <c r="K15" s="123"/>
      <c r="L15" s="123"/>
      <c r="M15" s="124"/>
    </row>
    <row r="16" spans="1:13" ht="13" x14ac:dyDescent="0.3">
      <c r="A16" s="525"/>
      <c r="C16" s="63" t="s">
        <v>105</v>
      </c>
      <c r="E16" s="4"/>
      <c r="F16" s="5"/>
      <c r="G16" s="123"/>
      <c r="H16" s="124"/>
      <c r="J16" s="159"/>
      <c r="K16" s="123"/>
      <c r="L16" s="123"/>
      <c r="M16" s="124"/>
    </row>
    <row r="17" spans="1:13" x14ac:dyDescent="0.25">
      <c r="A17" s="525"/>
      <c r="B17" t="s">
        <v>375</v>
      </c>
      <c r="C17" s="62" t="s">
        <v>106</v>
      </c>
      <c r="E17" s="159">
        <f>SUMIF('IN Act'!$B:$B,$B17,'IN Act'!$P:$P)</f>
        <v>11.025919999999999</v>
      </c>
      <c r="F17" s="123">
        <f>SUMIF('IN Bdg'!$B:$B,$B17,'IN Bdg'!$P:$P)</f>
        <v>12.59166666666667</v>
      </c>
      <c r="G17" s="123">
        <f t="shared" ref="G17:G23" si="0">E17-F17</f>
        <v>-1.5657466666666711</v>
      </c>
      <c r="H17" s="124">
        <f t="shared" ref="H17:H23" si="1">IF(F17&lt;&gt;0, G17/F17, "N.A.")</f>
        <v>-0.12434784910655226</v>
      </c>
      <c r="J17" s="159">
        <f>SUMIF('IN Act'!$B:$B,$B17,'IN Act'!$Q:$Q)</f>
        <v>11.025919999999999</v>
      </c>
      <c r="K17" s="123">
        <f>SUMIF('IN Bdg'!$B:$B,$B17,'IN Bdg'!$Q:$Q)</f>
        <v>12.59166666666667</v>
      </c>
      <c r="L17" s="123">
        <f t="shared" ref="L17:L23" si="2">J17-K17</f>
        <v>-1.5657466666666711</v>
      </c>
      <c r="M17" s="124">
        <f t="shared" ref="M17:M23" si="3">IF(K17&lt;&gt;0, L17/K17, "N.A.")</f>
        <v>-0.12434784910655226</v>
      </c>
    </row>
    <row r="18" spans="1:13" x14ac:dyDescent="0.25">
      <c r="A18" s="525"/>
      <c r="B18" t="s">
        <v>376</v>
      </c>
      <c r="C18" s="62" t="s">
        <v>429</v>
      </c>
      <c r="E18" s="161">
        <f>SUMIF('IN Act'!$B:$B,$B18,'IN Act'!$P:$P)</f>
        <v>31.943369999999998</v>
      </c>
      <c r="F18" s="127">
        <f>SUMIF('IN Bdg'!$B:$B,$B18,'IN Bdg'!$P:$P)</f>
        <v>34.053299999999993</v>
      </c>
      <c r="G18" s="127">
        <f t="shared" si="0"/>
        <v>-2.109929999999995</v>
      </c>
      <c r="H18" s="128">
        <f t="shared" si="1"/>
        <v>-6.1959633868083133E-2</v>
      </c>
      <c r="J18" s="161">
        <f>SUMIF('IN Act'!$B:$B,$B18,'IN Act'!$Q:$Q)</f>
        <v>31.943369999999998</v>
      </c>
      <c r="K18" s="127">
        <f>SUMIF('IN Bdg'!$B:$B,$B18,'IN Bdg'!$Q:$Q)</f>
        <v>34.053299999999993</v>
      </c>
      <c r="L18" s="127">
        <f t="shared" si="2"/>
        <v>-2.109929999999995</v>
      </c>
      <c r="M18" s="128">
        <f t="shared" si="3"/>
        <v>-6.1959633868083133E-2</v>
      </c>
    </row>
    <row r="19" spans="1:13" x14ac:dyDescent="0.25">
      <c r="A19" s="525"/>
      <c r="B19" t="s">
        <v>377</v>
      </c>
      <c r="C19" s="62" t="s">
        <v>108</v>
      </c>
      <c r="E19" s="161">
        <f>SUMIF('IN Act'!$B:$B,$B19,'IN Act'!$P:$P)</f>
        <v>55.92192</v>
      </c>
      <c r="F19" s="127">
        <f>SUMIF('IN Bdg'!$B:$B,$B19,'IN Bdg'!$P:$P)</f>
        <v>58.244451599999991</v>
      </c>
      <c r="G19" s="127">
        <f t="shared" si="0"/>
        <v>-2.3225315999999907</v>
      </c>
      <c r="H19" s="128">
        <f t="shared" si="1"/>
        <v>-3.9875585333865364E-2</v>
      </c>
      <c r="J19" s="161">
        <f>SUMIF('IN Act'!$B:$B,$B19,'IN Act'!$Q:$Q)</f>
        <v>55.92192</v>
      </c>
      <c r="K19" s="127">
        <f>SUMIF('IN Bdg'!$B:$B,$B19,'IN Bdg'!$Q:$Q)</f>
        <v>58.244451599999991</v>
      </c>
      <c r="L19" s="127">
        <f t="shared" si="2"/>
        <v>-2.3225315999999907</v>
      </c>
      <c r="M19" s="128">
        <f t="shared" si="3"/>
        <v>-3.9875585333865364E-2</v>
      </c>
    </row>
    <row r="20" spans="1:13" x14ac:dyDescent="0.25">
      <c r="A20" s="525"/>
      <c r="B20" t="s">
        <v>378</v>
      </c>
      <c r="C20" s="62" t="s">
        <v>386</v>
      </c>
      <c r="E20" s="161">
        <f>SUMIF('IN Act'!$B:$B,$B20,'IN Act'!$P:$P)</f>
        <v>0.15</v>
      </c>
      <c r="F20" s="127">
        <f>SUMIF('IN Bdg'!$B:$B,$B20,'IN Bdg'!$P:$P)</f>
        <v>17.416666666666664</v>
      </c>
      <c r="G20" s="127">
        <f t="shared" si="0"/>
        <v>-17.266666666666666</v>
      </c>
      <c r="H20" s="128">
        <f t="shared" si="1"/>
        <v>-0.99138755980861248</v>
      </c>
      <c r="J20" s="161">
        <f>SUMIF('IN Act'!$B:$B,$B20,'IN Act'!$Q:$Q)</f>
        <v>0.15</v>
      </c>
      <c r="K20" s="127">
        <f>SUMIF('IN Bdg'!$B:$B,$B20,'IN Bdg'!$Q:$Q)</f>
        <v>17.416666666666664</v>
      </c>
      <c r="L20" s="127">
        <f t="shared" si="2"/>
        <v>-17.266666666666666</v>
      </c>
      <c r="M20" s="128">
        <f t="shared" si="3"/>
        <v>-0.99138755980861248</v>
      </c>
    </row>
    <row r="21" spans="1:13" x14ac:dyDescent="0.25">
      <c r="A21" s="525"/>
      <c r="B21" t="s">
        <v>380</v>
      </c>
      <c r="C21" s="62" t="s">
        <v>109</v>
      </c>
      <c r="E21" s="161">
        <f>SUMIF('IN Act'!$B:$B,$B21,'IN Act'!$P:$P)</f>
        <v>0</v>
      </c>
      <c r="F21" s="127">
        <f>SUMIF('IN Bdg'!$B:$B,$B21,'IN Bdg'!$P:$P)</f>
        <v>0</v>
      </c>
      <c r="G21" s="127">
        <f t="shared" si="0"/>
        <v>0</v>
      </c>
      <c r="H21" s="128" t="str">
        <f t="shared" si="1"/>
        <v>N.A.</v>
      </c>
      <c r="J21" s="161">
        <f>SUMIF('IN Act'!$B:$B,$B21,'IN Act'!$Q:$Q)</f>
        <v>0</v>
      </c>
      <c r="K21" s="127">
        <f>SUMIF('IN Bdg'!$B:$B,$B21,'IN Bdg'!$Q:$Q)</f>
        <v>0</v>
      </c>
      <c r="L21" s="127">
        <f t="shared" si="2"/>
        <v>0</v>
      </c>
      <c r="M21" s="128" t="str">
        <f t="shared" si="3"/>
        <v>N.A.</v>
      </c>
    </row>
    <row r="22" spans="1:13" x14ac:dyDescent="0.25">
      <c r="A22" s="525"/>
      <c r="B22" t="s">
        <v>163</v>
      </c>
      <c r="C22" s="62" t="s">
        <v>387</v>
      </c>
      <c r="E22" s="161">
        <f>SUMIF('IN Act'!$B:$B,$B22,'IN Act'!$P:$P)</f>
        <v>4.1604199999999985</v>
      </c>
      <c r="F22" s="127">
        <f>SUMIF('IN Bdg'!$B:$B,$B22,'IN Bdg'!$P:$P)</f>
        <v>23.624905965939863</v>
      </c>
      <c r="G22" s="127">
        <f t="shared" si="0"/>
        <v>-19.464485965939865</v>
      </c>
      <c r="H22" s="128">
        <f t="shared" si="1"/>
        <v>-0.82389686519818972</v>
      </c>
      <c r="J22" s="161">
        <f>SUMIF('IN Act'!$B:$B,$B22,'IN Act'!$Q:$Q)</f>
        <v>4.1604199999999985</v>
      </c>
      <c r="K22" s="127">
        <f>SUMIF('IN Bdg'!$B:$B,$B22,'IN Bdg'!$Q:$Q)</f>
        <v>23.624905965939863</v>
      </c>
      <c r="L22" s="127">
        <f t="shared" si="2"/>
        <v>-19.464485965939865</v>
      </c>
      <c r="M22" s="128">
        <f t="shared" si="3"/>
        <v>-0.82389686519818972</v>
      </c>
    </row>
    <row r="23" spans="1:13" x14ac:dyDescent="0.25">
      <c r="A23" s="525"/>
      <c r="B23" t="s">
        <v>164</v>
      </c>
      <c r="C23" s="62" t="s">
        <v>430</v>
      </c>
      <c r="E23" s="161">
        <f>SUMIF('IN Act'!$B:$B,$B23,'IN Act'!$P:$P)</f>
        <v>0</v>
      </c>
      <c r="F23" s="127">
        <f>SUMIF('IN Bdg'!$B:$B,$B23,'IN Bdg'!$P:$P)</f>
        <v>0</v>
      </c>
      <c r="G23" s="127">
        <f t="shared" si="0"/>
        <v>0</v>
      </c>
      <c r="H23" s="128" t="str">
        <f t="shared" si="1"/>
        <v>N.A.</v>
      </c>
      <c r="J23" s="161">
        <f>SUMIF('IN Act'!$B:$B,$B23,'IN Act'!$Q:$Q)</f>
        <v>0</v>
      </c>
      <c r="K23" s="127">
        <f>SUMIF('IN Bdg'!$B:$B,$B23,'IN Bdg'!$Q:$Q)</f>
        <v>0</v>
      </c>
      <c r="L23" s="127">
        <f t="shared" si="2"/>
        <v>0</v>
      </c>
      <c r="M23" s="128" t="str">
        <f t="shared" si="3"/>
        <v>N.A.</v>
      </c>
    </row>
    <row r="24" spans="1:13" s="8" customFormat="1" ht="13" x14ac:dyDescent="0.3">
      <c r="A24" s="525"/>
      <c r="B24"/>
      <c r="C24" s="21" t="s">
        <v>111</v>
      </c>
      <c r="E24" s="164">
        <f>SUM(E17:E23)</f>
        <v>103.20163000000001</v>
      </c>
      <c r="F24" s="133">
        <f>SUM(F17:F23)</f>
        <v>145.93099089927318</v>
      </c>
      <c r="G24" s="133">
        <f>E24-F24</f>
        <v>-42.729360899273175</v>
      </c>
      <c r="H24" s="134">
        <f>IF(F24&lt;&gt;0, G24/F24, "N.A.")</f>
        <v>-0.29280525429150628</v>
      </c>
      <c r="J24" s="164">
        <f>SUM(J17:J23)</f>
        <v>103.20163000000001</v>
      </c>
      <c r="K24" s="133">
        <f>SUM(K17:K23)</f>
        <v>145.93099089927318</v>
      </c>
      <c r="L24" s="133">
        <f>J24-K24</f>
        <v>-42.729360899273175</v>
      </c>
      <c r="M24" s="134">
        <f>IF(K24&lt;&gt;0, L24/K24, "N.A.")</f>
        <v>-0.29280525429150628</v>
      </c>
    </row>
    <row r="25" spans="1:13" x14ac:dyDescent="0.25">
      <c r="A25" s="525"/>
      <c r="C25" s="11"/>
      <c r="E25" s="159"/>
      <c r="F25" s="123"/>
      <c r="G25" s="123"/>
      <c r="H25" s="124"/>
      <c r="J25" s="159"/>
      <c r="K25" s="123"/>
      <c r="L25" s="123"/>
      <c r="M25" s="124"/>
    </row>
    <row r="26" spans="1:13" ht="13" x14ac:dyDescent="0.3">
      <c r="A26" s="525"/>
      <c r="C26" s="21" t="s">
        <v>112</v>
      </c>
      <c r="E26" s="165">
        <f>SUM(E24,E14)</f>
        <v>1199.6800200000002</v>
      </c>
      <c r="F26" s="138">
        <f>SUM(F24,F14)</f>
        <v>1307.7621101265026</v>
      </c>
      <c r="G26" s="138">
        <f>E26-F26</f>
        <v>-108.08209012650241</v>
      </c>
      <c r="H26" s="139">
        <f>IF(F26&lt;&gt;0, G26/F26, "N.A.")</f>
        <v>-8.2646598559157972E-2</v>
      </c>
      <c r="J26" s="165">
        <f>SUM(J24,J14)</f>
        <v>1199.6800200000002</v>
      </c>
      <c r="K26" s="138">
        <f>SUM(K24,K14)</f>
        <v>1307.7621101265026</v>
      </c>
      <c r="L26" s="138">
        <f>J26-K26</f>
        <v>-108.08209012650241</v>
      </c>
      <c r="M26" s="139">
        <f>IF(K26&lt;&gt;0, L26/K26, "N.A.")</f>
        <v>-8.2646598559157972E-2</v>
      </c>
    </row>
    <row r="27" spans="1:13" x14ac:dyDescent="0.25">
      <c r="A27" s="525"/>
      <c r="C27" s="11"/>
      <c r="E27" s="159"/>
      <c r="F27" s="123"/>
      <c r="G27" s="123"/>
      <c r="H27" s="124"/>
      <c r="J27" s="159"/>
      <c r="K27" s="123"/>
      <c r="L27" s="123"/>
      <c r="M27" s="124"/>
    </row>
    <row r="28" spans="1:13" ht="13" x14ac:dyDescent="0.3">
      <c r="A28" s="525"/>
      <c r="C28" s="63" t="s">
        <v>113</v>
      </c>
      <c r="E28" s="159"/>
      <c r="F28" s="123"/>
      <c r="G28" s="123"/>
      <c r="H28" s="124"/>
      <c r="J28" s="159"/>
      <c r="K28" s="123"/>
      <c r="L28" s="123"/>
      <c r="M28" s="124"/>
    </row>
    <row r="29" spans="1:13" x14ac:dyDescent="0.25">
      <c r="A29" s="525"/>
      <c r="B29" t="s">
        <v>165</v>
      </c>
      <c r="C29" s="62" t="s">
        <v>114</v>
      </c>
      <c r="E29" s="159">
        <f>SUMIF('IN Act'!$B:$B,$B29,'IN Act'!$P:$P)</f>
        <v>3.764369999999996</v>
      </c>
      <c r="F29" s="123">
        <f>SUMIF('IN Bdg'!$B:$B,$B29,'IN Bdg'!$P:$P)</f>
        <v>12.194768333333334</v>
      </c>
      <c r="G29" s="123">
        <f t="shared" ref="G29:G34" si="4">E29-F29</f>
        <v>-8.4303983333333381</v>
      </c>
      <c r="H29" s="124">
        <f t="shared" ref="H29:H34" si="5">IF(F29&lt;&gt;0, G29/F29, "N.A.")</f>
        <v>-0.69131270909752185</v>
      </c>
      <c r="J29" s="159">
        <f>SUMIF('IN Act'!$B:$B,$B29,'IN Act'!$Q:$Q)</f>
        <v>3.764369999999996</v>
      </c>
      <c r="K29" s="123">
        <f>SUMIF('IN Bdg'!$B:$B,$B29,'IN Bdg'!$Q:$Q)</f>
        <v>12.194768333333334</v>
      </c>
      <c r="L29" s="123">
        <f t="shared" ref="L29:L34" si="6">J29-K29</f>
        <v>-8.4303983333333381</v>
      </c>
      <c r="M29" s="124">
        <f t="shared" ref="M29:M34" si="7">IF(K29&lt;&gt;0, L29/K29, "N.A.")</f>
        <v>-0.69131270909752185</v>
      </c>
    </row>
    <row r="30" spans="1:13" x14ac:dyDescent="0.25">
      <c r="A30" s="525"/>
      <c r="B30" t="s">
        <v>166</v>
      </c>
      <c r="C30" s="62" t="s">
        <v>115</v>
      </c>
      <c r="E30" s="161">
        <f>SUMIF('IN Act'!$B:$B,$B30,'IN Act'!$P:$P)</f>
        <v>4</v>
      </c>
      <c r="F30" s="127">
        <f>SUMIF('IN Bdg'!$B:$B,$B30,'IN Bdg'!$P:$P)</f>
        <v>4.7133333333333329</v>
      </c>
      <c r="G30" s="127">
        <f t="shared" si="4"/>
        <v>-0.71333333333333293</v>
      </c>
      <c r="H30" s="128">
        <f t="shared" si="5"/>
        <v>-0.15134370579915127</v>
      </c>
      <c r="J30" s="161">
        <f>SUMIF('IN Act'!$B:$B,$B30,'IN Act'!$Q:$Q)</f>
        <v>4</v>
      </c>
      <c r="K30" s="127">
        <f>SUMIF('IN Bdg'!$B:$B,$B30,'IN Bdg'!$Q:$Q)</f>
        <v>4.7133333333333329</v>
      </c>
      <c r="L30" s="127">
        <f t="shared" si="6"/>
        <v>-0.71333333333333293</v>
      </c>
      <c r="M30" s="128">
        <f t="shared" si="7"/>
        <v>-0.15134370579915127</v>
      </c>
    </row>
    <row r="31" spans="1:13" x14ac:dyDescent="0.25">
      <c r="A31" s="525"/>
      <c r="B31" t="s">
        <v>167</v>
      </c>
      <c r="C31" s="62" t="s">
        <v>116</v>
      </c>
      <c r="E31" s="161">
        <f>SUMIF('IN Act'!$B:$B,$B31,'IN Act'!$P:$P)</f>
        <v>0</v>
      </c>
      <c r="F31" s="127">
        <f>SUMIF('IN Bdg'!$B:$B,$B31,'IN Bdg'!$P:$P)</f>
        <v>0</v>
      </c>
      <c r="G31" s="127">
        <f t="shared" si="4"/>
        <v>0</v>
      </c>
      <c r="H31" s="128" t="str">
        <f t="shared" si="5"/>
        <v>N.A.</v>
      </c>
      <c r="J31" s="161">
        <f>SUMIF('IN Act'!$B:$B,$B31,'IN Act'!$Q:$Q)</f>
        <v>0</v>
      </c>
      <c r="K31" s="127">
        <f>SUMIF('IN Bdg'!$B:$B,$B31,'IN Bdg'!$Q:$Q)</f>
        <v>0</v>
      </c>
      <c r="L31" s="127">
        <f t="shared" si="6"/>
        <v>0</v>
      </c>
      <c r="M31" s="128" t="str">
        <f t="shared" si="7"/>
        <v>N.A.</v>
      </c>
    </row>
    <row r="32" spans="1:13" x14ac:dyDescent="0.25">
      <c r="A32" s="525"/>
      <c r="B32" t="s">
        <v>168</v>
      </c>
      <c r="C32" s="62" t="s">
        <v>117</v>
      </c>
      <c r="E32" s="161">
        <f>SUMIF('IN Act'!$B:$B,$B32,'IN Act'!$P:$P)</f>
        <v>0</v>
      </c>
      <c r="F32" s="127">
        <f>SUMIF('IN Bdg'!$B:$B,$B32,'IN Bdg'!$P:$P)</f>
        <v>1.6666666666666667</v>
      </c>
      <c r="G32" s="127">
        <f t="shared" si="4"/>
        <v>-1.6666666666666667</v>
      </c>
      <c r="H32" s="128">
        <f t="shared" si="5"/>
        <v>-1</v>
      </c>
      <c r="J32" s="161">
        <f>SUMIF('IN Act'!$B:$B,$B32,'IN Act'!$Q:$Q)</f>
        <v>0</v>
      </c>
      <c r="K32" s="127">
        <f>SUMIF('IN Bdg'!$B:$B,$B32,'IN Bdg'!$Q:$Q)</f>
        <v>1.6666666666666667</v>
      </c>
      <c r="L32" s="127">
        <f t="shared" si="6"/>
        <v>-1.6666666666666667</v>
      </c>
      <c r="M32" s="128">
        <f t="shared" si="7"/>
        <v>-1</v>
      </c>
    </row>
    <row r="33" spans="1:13" x14ac:dyDescent="0.25">
      <c r="A33" s="525"/>
      <c r="B33" t="s">
        <v>169</v>
      </c>
      <c r="C33" s="62" t="s">
        <v>118</v>
      </c>
      <c r="E33" s="161">
        <f>SUMIF('IN Act'!$B:$B,$B33,'IN Act'!$P:$P)</f>
        <v>0</v>
      </c>
      <c r="F33" s="127">
        <f>SUMIF('IN Bdg'!$B:$B,$B33,'IN Bdg'!$P:$P)</f>
        <v>0</v>
      </c>
      <c r="G33" s="127">
        <f t="shared" si="4"/>
        <v>0</v>
      </c>
      <c r="H33" s="128" t="str">
        <f t="shared" si="5"/>
        <v>N.A.</v>
      </c>
      <c r="J33" s="161">
        <f>SUMIF('IN Act'!$B:$B,$B33,'IN Act'!$Q:$Q)</f>
        <v>0</v>
      </c>
      <c r="K33" s="127">
        <f>SUMIF('IN Bdg'!$B:$B,$B33,'IN Bdg'!$Q:$Q)</f>
        <v>0</v>
      </c>
      <c r="L33" s="127">
        <f t="shared" si="6"/>
        <v>0</v>
      </c>
      <c r="M33" s="128" t="str">
        <f t="shared" si="7"/>
        <v>N.A.</v>
      </c>
    </row>
    <row r="34" spans="1:13" x14ac:dyDescent="0.25">
      <c r="A34" s="525"/>
      <c r="B34" t="s">
        <v>170</v>
      </c>
      <c r="C34" s="62" t="s">
        <v>408</v>
      </c>
      <c r="E34" s="159">
        <f>SUMIF('IN Act'!$B:$B,$B34,'IN Act'!$P:$P)</f>
        <v>0</v>
      </c>
      <c r="F34" s="123">
        <f>SUMIF('IN Bdg'!$B:$B,$B34,'IN Bdg'!$P:$P)</f>
        <v>0</v>
      </c>
      <c r="G34" s="123">
        <f t="shared" si="4"/>
        <v>0</v>
      </c>
      <c r="H34" s="124" t="str">
        <f t="shared" si="5"/>
        <v>N.A.</v>
      </c>
      <c r="J34" s="159">
        <f>SUMIF('IN Act'!$B:$B,$B34,'IN Act'!$Q:$Q)</f>
        <v>0</v>
      </c>
      <c r="K34" s="123">
        <f>SUMIF('IN Bdg'!$B:$B,$B34,'IN Bdg'!$Q:$Q)</f>
        <v>0</v>
      </c>
      <c r="L34" s="123">
        <f t="shared" si="6"/>
        <v>0</v>
      </c>
      <c r="M34" s="124" t="str">
        <f t="shared" si="7"/>
        <v>N.A.</v>
      </c>
    </row>
    <row r="35" spans="1:13" ht="13" x14ac:dyDescent="0.3">
      <c r="A35" s="525"/>
      <c r="C35" s="21" t="s">
        <v>120</v>
      </c>
      <c r="E35" s="165">
        <f>SUM(E29:E34)</f>
        <v>7.764369999999996</v>
      </c>
      <c r="F35" s="138">
        <f>SUM(F29:F34)</f>
        <v>18.574768333333335</v>
      </c>
      <c r="G35" s="138">
        <f>E35-F35</f>
        <v>-10.810398333333339</v>
      </c>
      <c r="H35" s="139">
        <f>IF(F35&lt;&gt;0, G35/F35, "N.A.")</f>
        <v>-0.58199370992603705</v>
      </c>
      <c r="J35" s="165">
        <f>SUM(J29:J34)</f>
        <v>7.764369999999996</v>
      </c>
      <c r="K35" s="138">
        <f>SUM(K29:K34)</f>
        <v>18.574768333333335</v>
      </c>
      <c r="L35" s="138">
        <f>J35-K35</f>
        <v>-10.810398333333339</v>
      </c>
      <c r="M35" s="139">
        <f>IF(K35&lt;&gt;0, L35/K35, "N.A.")</f>
        <v>-0.58199370992603705</v>
      </c>
    </row>
    <row r="36" spans="1:13" x14ac:dyDescent="0.25">
      <c r="A36" s="525"/>
      <c r="C36" s="11"/>
      <c r="E36" s="159"/>
      <c r="F36" s="123"/>
      <c r="G36" s="123"/>
      <c r="H36" s="124"/>
      <c r="J36" s="159"/>
      <c r="K36" s="123"/>
      <c r="L36" s="123"/>
      <c r="M36" s="124"/>
    </row>
    <row r="37" spans="1:13" ht="13" x14ac:dyDescent="0.3">
      <c r="A37" s="525"/>
      <c r="C37" s="63" t="s">
        <v>121</v>
      </c>
      <c r="E37" s="159"/>
      <c r="F37" s="123"/>
      <c r="G37" s="123"/>
      <c r="H37" s="124"/>
      <c r="J37" s="159"/>
      <c r="K37" s="123"/>
      <c r="L37" s="123"/>
      <c r="M37" s="124"/>
    </row>
    <row r="38" spans="1:13" x14ac:dyDescent="0.25">
      <c r="A38" s="525"/>
      <c r="B38" t="s">
        <v>171</v>
      </c>
      <c r="C38" s="62" t="s">
        <v>389</v>
      </c>
      <c r="E38" s="159">
        <f>SUMIF('IN Act'!$B:$B,$B38,'IN Act'!$P:$P)</f>
        <v>3.3788800000000014</v>
      </c>
      <c r="F38" s="123">
        <f>SUMIF('IN Bdg'!$B:$B,$B38,'IN Bdg'!$P:$P)</f>
        <v>-11.922466951062265</v>
      </c>
      <c r="G38" s="123">
        <f>E38-F38</f>
        <v>15.301346951062268</v>
      </c>
      <c r="H38" s="124">
        <f>IF(F38&lt;&gt;0, G38/F38, "N.A.")</f>
        <v>-1.2834044341552109</v>
      </c>
      <c r="J38" s="159">
        <f>SUMIF('IN Act'!$B:$B,$B38,'IN Act'!$Q:$Q)</f>
        <v>3.3788800000000014</v>
      </c>
      <c r="K38" s="123">
        <f>SUMIF('IN Bdg'!$B:$B,$B38,'IN Bdg'!$Q:$Q)</f>
        <v>-11.922466951062265</v>
      </c>
      <c r="L38" s="123">
        <f>J38-K38</f>
        <v>15.301346951062268</v>
      </c>
      <c r="M38" s="124">
        <f>IF(K38&lt;&gt;0, L38/K38, "N.A.")</f>
        <v>-1.2834044341552109</v>
      </c>
    </row>
    <row r="39" spans="1:13" x14ac:dyDescent="0.25">
      <c r="A39" s="525"/>
      <c r="B39" t="s">
        <v>172</v>
      </c>
      <c r="C39" s="62" t="s">
        <v>122</v>
      </c>
      <c r="E39" s="161">
        <f>SUMIF('IN Act'!$B:$B,$B39,'IN Act'!$P:$P)</f>
        <v>6.03</v>
      </c>
      <c r="F39" s="127">
        <f>SUMIF('IN Bdg'!$B:$B,$B39,'IN Bdg'!$P:$P)</f>
        <v>2.916666666666667</v>
      </c>
      <c r="G39" s="127">
        <f>E39-F39</f>
        <v>3.1133333333333333</v>
      </c>
      <c r="H39" s="128">
        <f>IF(F39&lt;&gt;0, G39/F39, "N.A.")</f>
        <v>1.0674285714285714</v>
      </c>
      <c r="J39" s="161">
        <f>SUMIF('IN Act'!$B:$B,$B39,'IN Act'!$Q:$Q)</f>
        <v>6.03</v>
      </c>
      <c r="K39" s="127">
        <f>SUMIF('IN Bdg'!$B:$B,$B39,'IN Bdg'!$Q:$Q)</f>
        <v>2.916666666666667</v>
      </c>
      <c r="L39" s="127">
        <f>J39-K39</f>
        <v>3.1133333333333333</v>
      </c>
      <c r="M39" s="128">
        <f>IF(K39&lt;&gt;0, L39/K39, "N.A.")</f>
        <v>1.0674285714285714</v>
      </c>
    </row>
    <row r="40" spans="1:13" x14ac:dyDescent="0.25">
      <c r="A40" s="525"/>
      <c r="B40" t="s">
        <v>173</v>
      </c>
      <c r="C40" s="62" t="s">
        <v>409</v>
      </c>
      <c r="E40" s="159">
        <f>SUMIF('IN Act'!$B:$B,$B40,'IN Act'!$P:$P)</f>
        <v>0</v>
      </c>
      <c r="F40" s="123">
        <f>SUMIF('IN Bdg'!$B:$B,$B40,'IN Bdg'!$P:$P)</f>
        <v>6.0833333333333339</v>
      </c>
      <c r="G40" s="123">
        <f>E40-F40</f>
        <v>-6.0833333333333339</v>
      </c>
      <c r="H40" s="124">
        <f>IF(F40&lt;&gt;0, G40/F40, "N.A.")</f>
        <v>-1</v>
      </c>
      <c r="J40" s="159">
        <f>SUMIF('IN Act'!$B:$B,$B40,'IN Act'!$Q:$Q)</f>
        <v>0</v>
      </c>
      <c r="K40" s="123">
        <f>SUMIF('IN Bdg'!$B:$B,$B40,'IN Bdg'!$Q:$Q)</f>
        <v>6.0833333333333339</v>
      </c>
      <c r="L40" s="123">
        <f>J40-K40</f>
        <v>-6.0833333333333339</v>
      </c>
      <c r="M40" s="124">
        <f>IF(K40&lt;&gt;0, L40/K40, "N.A.")</f>
        <v>-1</v>
      </c>
    </row>
    <row r="41" spans="1:13" ht="13" x14ac:dyDescent="0.3">
      <c r="A41" s="525"/>
      <c r="C41" s="21" t="s">
        <v>124</v>
      </c>
      <c r="E41" s="165">
        <f>SUM(E37:E40)</f>
        <v>9.4088800000000017</v>
      </c>
      <c r="F41" s="138">
        <f>SUM(F37:F40)</f>
        <v>-2.9224669510622636</v>
      </c>
      <c r="G41" s="138">
        <f>E41-F41</f>
        <v>12.331346951062265</v>
      </c>
      <c r="H41" s="139">
        <f>IF(F41&lt;&gt;0, G41/F41, "N.A.")</f>
        <v>-4.2194991962458444</v>
      </c>
      <c r="J41" s="165">
        <f>SUM(J37:J40)</f>
        <v>9.4088800000000017</v>
      </c>
      <c r="K41" s="138">
        <f>SUM(K37:K40)</f>
        <v>-2.9224669510622636</v>
      </c>
      <c r="L41" s="138">
        <f>J41-K41</f>
        <v>12.331346951062265</v>
      </c>
      <c r="M41" s="139">
        <f>IF(K41&lt;&gt;0, L41/K41, "N.A.")</f>
        <v>-4.2194991962458444</v>
      </c>
    </row>
    <row r="42" spans="1:13" x14ac:dyDescent="0.25">
      <c r="A42" s="525"/>
      <c r="C42" s="11"/>
      <c r="E42" s="159"/>
      <c r="F42" s="123"/>
      <c r="G42" s="123"/>
      <c r="H42" s="124"/>
      <c r="J42" s="159"/>
      <c r="K42" s="123"/>
      <c r="L42" s="123"/>
      <c r="M42" s="124"/>
    </row>
    <row r="43" spans="1:13" ht="13" x14ac:dyDescent="0.3">
      <c r="A43" s="525"/>
      <c r="C43" s="63" t="s">
        <v>125</v>
      </c>
      <c r="E43" s="159"/>
      <c r="F43" s="123"/>
      <c r="G43" s="123"/>
      <c r="H43" s="124"/>
      <c r="J43" s="159"/>
      <c r="K43" s="123"/>
      <c r="L43" s="123"/>
      <c r="M43" s="124"/>
    </row>
    <row r="44" spans="1:13" x14ac:dyDescent="0.25">
      <c r="A44" s="525"/>
      <c r="B44" t="s">
        <v>174</v>
      </c>
      <c r="C44" s="62" t="s">
        <v>126</v>
      </c>
      <c r="E44" s="161">
        <f>SUMIF('IN Act'!$B:$B,$B44,'IN Act'!$P:$P)</f>
        <v>91.766989999999964</v>
      </c>
      <c r="F44" s="127">
        <f>SUMIF('IN Bdg'!$B:$B,$B44,'IN Bdg'!$P:$P)</f>
        <v>41.791666666666671</v>
      </c>
      <c r="G44" s="127">
        <f>E44-F44</f>
        <v>49.975323333333293</v>
      </c>
      <c r="H44" s="128">
        <f>IF(F44&lt;&gt;0, G44/F44, "N.A.")</f>
        <v>1.1958202991026907</v>
      </c>
      <c r="J44" s="161">
        <f>SUMIF('IN Act'!$B:$B,$B44,'IN Act'!$Q:$Q)</f>
        <v>91.766989999999964</v>
      </c>
      <c r="K44" s="127">
        <f>SUMIF('IN Bdg'!$B:$B,$B44,'IN Bdg'!$Q:$Q)</f>
        <v>41.791666666666671</v>
      </c>
      <c r="L44" s="127">
        <f>J44-K44</f>
        <v>49.975323333333293</v>
      </c>
      <c r="M44" s="128">
        <f>IF(K44&lt;&gt;0, L44/K44, "N.A.")</f>
        <v>1.1958202991026907</v>
      </c>
    </row>
    <row r="45" spans="1:13" x14ac:dyDescent="0.25">
      <c r="A45" s="525"/>
      <c r="B45" t="s">
        <v>175</v>
      </c>
      <c r="C45" s="62" t="s">
        <v>176</v>
      </c>
      <c r="E45" s="159">
        <f>SUMIF('IN Act'!$B:$B,$B45,'IN Act'!$P:$P)</f>
        <v>0.83717999999999992</v>
      </c>
      <c r="F45" s="123">
        <f>SUMIF('IN Bdg'!$B:$B,$B45,'IN Bdg'!$P:$P)</f>
        <v>1.5</v>
      </c>
      <c r="G45" s="123">
        <f>E45-F45</f>
        <v>-0.66282000000000008</v>
      </c>
      <c r="H45" s="124">
        <f>IF(F45&lt;&gt;0, G45/F45, "N.A.")</f>
        <v>-0.44188000000000005</v>
      </c>
      <c r="J45" s="159">
        <f>SUMIF('IN Act'!$B:$B,$B45,'IN Act'!$Q:$Q)</f>
        <v>0.83717999999999992</v>
      </c>
      <c r="K45" s="123">
        <f>SUMIF('IN Bdg'!$B:$B,$B45,'IN Bdg'!$Q:$Q)</f>
        <v>1.5</v>
      </c>
      <c r="L45" s="123">
        <f>J45-K45</f>
        <v>-0.66282000000000008</v>
      </c>
      <c r="M45" s="124">
        <f>IF(K45&lt;&gt;0, L45/K45, "N.A.")</f>
        <v>-0.44188000000000005</v>
      </c>
    </row>
    <row r="46" spans="1:13" ht="13" x14ac:dyDescent="0.3">
      <c r="A46" s="525"/>
      <c r="C46" s="21" t="s">
        <v>127</v>
      </c>
      <c r="E46" s="165">
        <f>SUM(E43:E45)</f>
        <v>92.604169999999968</v>
      </c>
      <c r="F46" s="138">
        <f>SUM(F43:F45)</f>
        <v>43.291666666666671</v>
      </c>
      <c r="G46" s="138">
        <f>E46-F46</f>
        <v>49.312503333333296</v>
      </c>
      <c r="H46" s="139">
        <f>IF(F46&lt;&gt;0, G46/F46, "N.A.")</f>
        <v>1.1390761116458124</v>
      </c>
      <c r="J46" s="165">
        <f>SUM(J43:J45)</f>
        <v>92.604169999999968</v>
      </c>
      <c r="K46" s="138">
        <f>SUM(K43:K45)</f>
        <v>43.291666666666671</v>
      </c>
      <c r="L46" s="138">
        <f>J46-K46</f>
        <v>49.312503333333296</v>
      </c>
      <c r="M46" s="139">
        <f>IF(K46&lt;&gt;0, L46/K46, "N.A.")</f>
        <v>1.1390761116458124</v>
      </c>
    </row>
    <row r="47" spans="1:13" ht="13.5" thickBot="1" x14ac:dyDescent="0.35">
      <c r="A47" s="525"/>
      <c r="C47" s="16"/>
      <c r="E47" s="164"/>
      <c r="F47" s="133"/>
      <c r="G47" s="133"/>
      <c r="H47" s="134"/>
      <c r="J47" s="164"/>
      <c r="K47" s="133"/>
      <c r="L47" s="133"/>
      <c r="M47" s="134"/>
    </row>
    <row r="48" spans="1:13" ht="13.5" thickBot="1" x14ac:dyDescent="0.35">
      <c r="A48" s="525"/>
      <c r="C48" s="65" t="s">
        <v>128</v>
      </c>
      <c r="E48" s="166"/>
      <c r="F48" s="140"/>
      <c r="G48" s="140"/>
      <c r="H48" s="141"/>
      <c r="J48" s="166"/>
      <c r="K48" s="140"/>
      <c r="L48" s="140"/>
      <c r="M48" s="141"/>
    </row>
    <row r="49" spans="1:13" ht="13" x14ac:dyDescent="0.3">
      <c r="A49" s="525"/>
      <c r="C49" s="375"/>
      <c r="E49" s="376"/>
      <c r="F49" s="135"/>
      <c r="G49" s="135"/>
      <c r="H49" s="377"/>
      <c r="I49" s="5"/>
      <c r="J49" s="376"/>
      <c r="K49" s="135"/>
      <c r="L49" s="135"/>
      <c r="M49" s="377"/>
    </row>
    <row r="50" spans="1:13" ht="13" x14ac:dyDescent="0.3">
      <c r="A50" s="525"/>
      <c r="C50" s="375" t="s">
        <v>390</v>
      </c>
      <c r="E50" s="159"/>
      <c r="F50" s="123"/>
      <c r="G50" s="123"/>
      <c r="H50" s="124"/>
      <c r="I50" s="5"/>
      <c r="J50" s="159"/>
      <c r="K50" s="123"/>
      <c r="L50" s="123"/>
      <c r="M50" s="124"/>
    </row>
    <row r="51" spans="1:13" x14ac:dyDescent="0.25">
      <c r="A51" s="525"/>
      <c r="B51" t="s">
        <v>177</v>
      </c>
      <c r="C51" s="61" t="s">
        <v>129</v>
      </c>
      <c r="E51" s="160">
        <f>SUMIF('IN Act'!$B:$B,$B51,'IN Act'!$P:$P)</f>
        <v>0</v>
      </c>
      <c r="F51" s="125">
        <f>SUMIF('IN Bdg'!$B:$B,$B51,'IN Bdg'!$P:$P)</f>
        <v>45.008935593807799</v>
      </c>
      <c r="G51" s="125">
        <f>E51-F51</f>
        <v>-45.008935593807799</v>
      </c>
      <c r="H51" s="126">
        <f>IF(F51&lt;&gt;0, G51/F51, "N.A.")</f>
        <v>-1</v>
      </c>
      <c r="J51" s="160">
        <f>SUMIF('IN Act'!$B:$B,$B51,'IN Act'!$Q:$Q)</f>
        <v>0</v>
      </c>
      <c r="K51" s="125">
        <f>SUMIF('IN Bdg'!$B:$B,$B51,'IN Bdg'!$Q:$Q)</f>
        <v>45.008935593807799</v>
      </c>
      <c r="L51" s="125">
        <f>J51-K51</f>
        <v>-45.008935593807799</v>
      </c>
      <c r="M51" s="126">
        <f>IF(K51&lt;&gt;0, L51/K51, "N.A.")</f>
        <v>-1</v>
      </c>
    </row>
    <row r="52" spans="1:13" x14ac:dyDescent="0.25">
      <c r="A52" s="525"/>
      <c r="B52" t="s">
        <v>180</v>
      </c>
      <c r="C52" s="61" t="s">
        <v>391</v>
      </c>
      <c r="E52" s="159">
        <f>SUMIF('IN Act'!$B:$B,$B52,'IN Act'!$P:$P)</f>
        <v>0</v>
      </c>
      <c r="F52" s="123">
        <f>SUMIF('IN Bdg'!$B:$B,$B52,'IN Bdg'!$P:$P)</f>
        <v>19.833333333333332</v>
      </c>
      <c r="G52" s="123">
        <f>E52-F52</f>
        <v>-19.833333333333332</v>
      </c>
      <c r="H52" s="124">
        <f>IF(F52&lt;&gt;0, G52/F52, "N.A.")</f>
        <v>-1</v>
      </c>
      <c r="J52" s="159">
        <f>SUMIF('IN Act'!$B:$B,$B52,'IN Act'!$Q:$Q)</f>
        <v>0</v>
      </c>
      <c r="K52" s="123">
        <f>SUMIF('IN Bdg'!$B:$B,$B52,'IN Bdg'!$Q:$Q)</f>
        <v>19.833333333333332</v>
      </c>
      <c r="L52" s="123">
        <f>J52-K52</f>
        <v>-19.833333333333332</v>
      </c>
      <c r="M52" s="124">
        <f>IF(K52&lt;&gt;0, L52/K52, "N.A.")</f>
        <v>-1</v>
      </c>
    </row>
    <row r="53" spans="1:13" ht="13" x14ac:dyDescent="0.3">
      <c r="A53" s="525"/>
      <c r="C53" s="67" t="s">
        <v>410</v>
      </c>
      <c r="E53" s="167">
        <f>SUM(E51:E52)</f>
        <v>0</v>
      </c>
      <c r="F53" s="142">
        <f>SUM(F51:F52)</f>
        <v>64.842268927141134</v>
      </c>
      <c r="G53" s="142">
        <f>E53-F53</f>
        <v>-64.842268927141134</v>
      </c>
      <c r="H53" s="143">
        <f>IF(F53&lt;&gt;0, G53/F53, "N.A.")</f>
        <v>-1</v>
      </c>
      <c r="J53" s="167">
        <f>SUM(J51:J52)</f>
        <v>0</v>
      </c>
      <c r="K53" s="142">
        <f>SUM(K51:K52)</f>
        <v>64.842268927141134</v>
      </c>
      <c r="L53" s="142">
        <f>J53-K53</f>
        <v>-64.842268927141134</v>
      </c>
      <c r="M53" s="143">
        <f>IF(K53&lt;&gt;0, L53/K53, "N.A.")</f>
        <v>-1</v>
      </c>
    </row>
    <row r="54" spans="1:13" x14ac:dyDescent="0.25">
      <c r="A54" s="525"/>
      <c r="C54" s="62"/>
      <c r="E54" s="159"/>
      <c r="F54" s="123"/>
      <c r="G54" s="123"/>
      <c r="H54" s="124"/>
      <c r="J54" s="159"/>
      <c r="K54" s="123"/>
      <c r="L54" s="123"/>
      <c r="M54" s="124"/>
    </row>
    <row r="55" spans="1:13" ht="13" x14ac:dyDescent="0.3">
      <c r="A55" s="525"/>
      <c r="C55" s="66" t="s">
        <v>392</v>
      </c>
      <c r="E55" s="159"/>
      <c r="F55" s="123"/>
      <c r="G55" s="123"/>
      <c r="H55" s="124"/>
      <c r="J55" s="159"/>
      <c r="K55" s="123"/>
      <c r="L55" s="123"/>
      <c r="M55" s="124"/>
    </row>
    <row r="56" spans="1:13" x14ac:dyDescent="0.25">
      <c r="A56" s="525"/>
      <c r="B56" t="s">
        <v>178</v>
      </c>
      <c r="C56" s="61" t="s">
        <v>393</v>
      </c>
      <c r="E56" s="159">
        <f>SUMIF('IN Act'!$B:$B,$B56,'IN Act'!$P:$P)</f>
        <v>1.31697</v>
      </c>
      <c r="F56" s="123">
        <f>SUMIF('IN Bdg'!$B:$B,$B56,'IN Bdg'!$P:$P)</f>
        <v>6.0833333333333339</v>
      </c>
      <c r="G56" s="123">
        <f>E56-F56</f>
        <v>-4.7663633333333344</v>
      </c>
      <c r="H56" s="124">
        <f>IF(F56&lt;&gt;0, G56/F56, "N.A.")</f>
        <v>-0.78351178082191786</v>
      </c>
      <c r="J56" s="159">
        <f>SUMIF('IN Act'!$B:$B,$B56,'IN Act'!$Q:$Q)</f>
        <v>1.31697</v>
      </c>
      <c r="K56" s="123">
        <f>SUMIF('IN Bdg'!$B:$B,$B56,'IN Bdg'!$Q:$Q)</f>
        <v>6.0833333333333339</v>
      </c>
      <c r="L56" s="123">
        <f>J56-K56</f>
        <v>-4.7663633333333344</v>
      </c>
      <c r="M56" s="124">
        <f>IF(K56&lt;&gt;0, L56/K56, "N.A.")</f>
        <v>-0.78351178082191786</v>
      </c>
    </row>
    <row r="57" spans="1:13" x14ac:dyDescent="0.25">
      <c r="A57" s="525"/>
      <c r="B57" t="s">
        <v>179</v>
      </c>
      <c r="C57" s="61" t="s">
        <v>130</v>
      </c>
      <c r="E57" s="161">
        <f>SUMIF('IN Act'!$B:$B,$B57,'IN Act'!$P:$P)</f>
        <v>0</v>
      </c>
      <c r="F57" s="127">
        <f>SUMIF('IN Bdg'!$B:$B,$B57,'IN Bdg'!$P:$P)</f>
        <v>4.166666666666667</v>
      </c>
      <c r="G57" s="127">
        <f>E57-F57</f>
        <v>-4.166666666666667</v>
      </c>
      <c r="H57" s="128">
        <f>IF(F57&lt;&gt;0, G57/F57, "N.A.")</f>
        <v>-1</v>
      </c>
      <c r="J57" s="161">
        <f>SUMIF('IN Act'!$B:$B,$B57,'IN Act'!$Q:$Q)</f>
        <v>0</v>
      </c>
      <c r="K57" s="127">
        <f>SUMIF('IN Bdg'!$B:$B,$B57,'IN Bdg'!$Q:$Q)</f>
        <v>4.166666666666667</v>
      </c>
      <c r="L57" s="127">
        <f>J57-K57</f>
        <v>-4.166666666666667</v>
      </c>
      <c r="M57" s="128">
        <f>IF(K57&lt;&gt;0, L57/K57, "N.A.")</f>
        <v>-1</v>
      </c>
    </row>
    <row r="58" spans="1:13" x14ac:dyDescent="0.25">
      <c r="A58" s="525"/>
      <c r="B58" t="s">
        <v>181</v>
      </c>
      <c r="C58" s="61" t="s">
        <v>110</v>
      </c>
      <c r="E58" s="160">
        <f>SUMIF('IN Act'!$B:$B,$B58,'IN Act'!$P:$P)</f>
        <v>21.09948</v>
      </c>
      <c r="F58" s="125">
        <f>SUMIF('IN Bdg'!$B:$B,$B58,'IN Bdg'!$P:$P)</f>
        <v>19.1401</v>
      </c>
      <c r="G58" s="125">
        <f>E58-F58</f>
        <v>1.9593799999999995</v>
      </c>
      <c r="H58" s="126">
        <f>IF(F58&lt;&gt;0, G58/F58, "N.A.")</f>
        <v>0.10237041603753373</v>
      </c>
      <c r="J58" s="160">
        <f>SUMIF('IN Act'!$B:$B,$B58,'IN Act'!$Q:$Q)</f>
        <v>21.09948</v>
      </c>
      <c r="K58" s="125">
        <f>SUMIF('IN Bdg'!$B:$B,$B58,'IN Bdg'!$Q:$Q)</f>
        <v>19.1401</v>
      </c>
      <c r="L58" s="125">
        <f>J58-K58</f>
        <v>1.9593799999999995</v>
      </c>
      <c r="M58" s="126">
        <f>IF(K58&lt;&gt;0, L58/K58, "N.A.")</f>
        <v>0.10237041603753373</v>
      </c>
    </row>
    <row r="59" spans="1:13" ht="13" x14ac:dyDescent="0.3">
      <c r="A59" s="525"/>
      <c r="C59" s="67" t="s">
        <v>411</v>
      </c>
      <c r="E59" s="167">
        <f>SUM(E56:E58)</f>
        <v>22.416450000000001</v>
      </c>
      <c r="F59" s="142">
        <f>SUM(F56:F58)</f>
        <v>29.3901</v>
      </c>
      <c r="G59" s="142">
        <f>SUM(G56:G58)</f>
        <v>-6.9736500000000028</v>
      </c>
      <c r="H59" s="143">
        <f>IF(F59&lt;&gt;0, G59/F59, "N.A.")</f>
        <v>-0.2372788796227302</v>
      </c>
      <c r="J59" s="167">
        <f>SUM(J56:J58)</f>
        <v>22.416450000000001</v>
      </c>
      <c r="K59" s="142">
        <f>SUM(K56:K58)</f>
        <v>29.3901</v>
      </c>
      <c r="L59" s="142">
        <f>J59-K59</f>
        <v>-6.9736499999999992</v>
      </c>
      <c r="M59" s="143">
        <f>IF(K59&lt;&gt;0, L59/K59, "N.A.")</f>
        <v>-0.23727887962273009</v>
      </c>
    </row>
    <row r="60" spans="1:13" ht="13" x14ac:dyDescent="0.3">
      <c r="A60" s="525"/>
      <c r="C60" s="66"/>
      <c r="E60" s="159"/>
      <c r="F60" s="123"/>
      <c r="G60" s="123"/>
      <c r="H60" s="124"/>
      <c r="J60" s="159"/>
      <c r="K60" s="123"/>
      <c r="L60" s="123"/>
      <c r="M60" s="124"/>
    </row>
    <row r="61" spans="1:13" ht="13" x14ac:dyDescent="0.3">
      <c r="A61" s="525"/>
      <c r="C61" s="66" t="s">
        <v>132</v>
      </c>
      <c r="E61" s="159"/>
      <c r="F61" s="123"/>
      <c r="G61" s="123"/>
      <c r="H61" s="124"/>
      <c r="J61" s="159"/>
      <c r="K61" s="123"/>
      <c r="L61" s="123"/>
      <c r="M61" s="124"/>
    </row>
    <row r="62" spans="1:13" x14ac:dyDescent="0.25">
      <c r="A62" s="525"/>
      <c r="B62" t="s">
        <v>182</v>
      </c>
      <c r="C62" s="61" t="s">
        <v>394</v>
      </c>
      <c r="E62" s="159">
        <f>SUMIF('IN Act'!$B:$B,$B62,'IN Act'!$P:$P)</f>
        <v>1.6938599999999999</v>
      </c>
      <c r="F62" s="123">
        <f>SUMIF('IN Bdg'!$B:$B,$B62,'IN Bdg'!$P:$P)</f>
        <v>0.95</v>
      </c>
      <c r="G62" s="123">
        <f>E62-F62</f>
        <v>0.74385999999999997</v>
      </c>
      <c r="H62" s="124">
        <f>IF(F62&lt;&gt;0, G62/F62, "N.A.")</f>
        <v>0.78301052631578949</v>
      </c>
      <c r="J62" s="159">
        <f>SUMIF('IN Act'!$B:$B,$B62,'IN Act'!$Q:$Q)</f>
        <v>1.6938599999999999</v>
      </c>
      <c r="K62" s="123">
        <f>SUMIF('IN Bdg'!$B:$B,$B62,'IN Bdg'!$Q:$Q)</f>
        <v>0.95</v>
      </c>
      <c r="L62" s="123">
        <f>J62-K62</f>
        <v>0.74385999999999997</v>
      </c>
      <c r="M62" s="124">
        <f>IF(K62&lt;&gt;0, L62/K62, "N.A.")</f>
        <v>0.78301052631578949</v>
      </c>
    </row>
    <row r="63" spans="1:13" x14ac:dyDescent="0.25">
      <c r="A63" s="525"/>
      <c r="B63" t="s">
        <v>183</v>
      </c>
      <c r="C63" s="61" t="s">
        <v>133</v>
      </c>
      <c r="E63" s="161">
        <f>SUMIF('IN Act'!$B:$B,$B63,'IN Act'!$P:$P)</f>
        <v>10.427320000000002</v>
      </c>
      <c r="F63" s="127">
        <f>SUMIF('IN Bdg'!$B:$B,$B63,'IN Bdg'!$P:$P)</f>
        <v>3.0135708333333335</v>
      </c>
      <c r="G63" s="127">
        <f>E63-F63</f>
        <v>7.4137491666666682</v>
      </c>
      <c r="H63" s="128">
        <f>IF(F63&lt;&gt;0, G63/F63, "N.A.")</f>
        <v>2.4601210911197544</v>
      </c>
      <c r="J63" s="161">
        <f>SUMIF('IN Act'!$B:$B,$B63,'IN Act'!$Q:$Q)</f>
        <v>10.427320000000002</v>
      </c>
      <c r="K63" s="127">
        <f>SUMIF('IN Bdg'!$B:$B,$B63,'IN Bdg'!$Q:$Q)</f>
        <v>3.0135708333333335</v>
      </c>
      <c r="L63" s="127">
        <f>J63-K63</f>
        <v>7.4137491666666682</v>
      </c>
      <c r="M63" s="128">
        <f>IF(K63&lt;&gt;0, L63/K63, "N.A.")</f>
        <v>2.4601210911197544</v>
      </c>
    </row>
    <row r="64" spans="1:13" x14ac:dyDescent="0.25">
      <c r="A64" s="525"/>
      <c r="B64" t="s">
        <v>184</v>
      </c>
      <c r="C64" s="61" t="s">
        <v>134</v>
      </c>
      <c r="E64" s="161">
        <f>SUMIF('IN Act'!$B:$B,$B64,'IN Act'!$P:$P)</f>
        <v>3.4345799999999995</v>
      </c>
      <c r="F64" s="127">
        <f>SUMIF('IN Bdg'!$B:$B,$B64,'IN Bdg'!$P:$P)</f>
        <v>24.472256666666667</v>
      </c>
      <c r="G64" s="127">
        <f>E64-F64</f>
        <v>-21.037676666666666</v>
      </c>
      <c r="H64" s="128">
        <f>IF(F64&lt;&gt;0, G64/F64, "N.A.")</f>
        <v>-0.85965413624162434</v>
      </c>
      <c r="J64" s="161">
        <f>SUMIF('IN Act'!$B:$B,$B64,'IN Act'!$Q:$Q)</f>
        <v>3.4345799999999995</v>
      </c>
      <c r="K64" s="127">
        <f>SUMIF('IN Bdg'!$B:$B,$B64,'IN Bdg'!$Q:$Q)</f>
        <v>24.472256666666667</v>
      </c>
      <c r="L64" s="127">
        <f>J64-K64</f>
        <v>-21.037676666666666</v>
      </c>
      <c r="M64" s="128">
        <f>IF(K64&lt;&gt;0, L64/K64, "N.A.")</f>
        <v>-0.85965413624162434</v>
      </c>
    </row>
    <row r="65" spans="1:13" x14ac:dyDescent="0.25">
      <c r="A65" s="525"/>
      <c r="B65" t="s">
        <v>185</v>
      </c>
      <c r="C65" s="68" t="s">
        <v>395</v>
      </c>
      <c r="E65" s="168">
        <f>SUMIF('IN Act'!$B:$B,$B65,'IN Act'!$P:$P)</f>
        <v>0.17202000000000001</v>
      </c>
      <c r="F65" s="144">
        <f>SUMIF('IN Bdg'!$B:$B,$B65,'IN Bdg'!$P:$P)</f>
        <v>5.2916666666666661</v>
      </c>
      <c r="G65" s="144">
        <f>E65-F65</f>
        <v>-5.1196466666666662</v>
      </c>
      <c r="H65" s="145">
        <f>IF(F65&lt;&gt;0, G65/F65, "N.A.")</f>
        <v>-0.96749228346456695</v>
      </c>
      <c r="J65" s="168">
        <f>SUMIF('IN Act'!$B:$B,$B65,'IN Act'!$Q:$Q)</f>
        <v>0.17202000000000001</v>
      </c>
      <c r="K65" s="144">
        <f>SUMIF('IN Bdg'!$B:$B,$B65,'IN Bdg'!$Q:$Q)</f>
        <v>5.2916666666666661</v>
      </c>
      <c r="L65" s="144">
        <f>J65-K65</f>
        <v>-5.1196466666666662</v>
      </c>
      <c r="M65" s="145">
        <f>IF(K65&lt;&gt;0, L65/K65, "N.A.")</f>
        <v>-0.96749228346456695</v>
      </c>
    </row>
    <row r="66" spans="1:13" ht="13" x14ac:dyDescent="0.3">
      <c r="A66" s="525"/>
      <c r="C66" s="69" t="s">
        <v>135</v>
      </c>
      <c r="E66" s="167">
        <f>SUM(E62:E65)</f>
        <v>15.727780000000003</v>
      </c>
      <c r="F66" s="142">
        <f>SUM(F62:F65)</f>
        <v>33.727494166666666</v>
      </c>
      <c r="G66" s="142">
        <f>E66-F66</f>
        <v>-17.999714166666664</v>
      </c>
      <c r="H66" s="143">
        <f>IF(F66&lt;&gt;0, G66/F66, "N.A.")</f>
        <v>-0.53368074360104767</v>
      </c>
      <c r="J66" s="167">
        <f>SUM(J62:J65)</f>
        <v>15.727780000000003</v>
      </c>
      <c r="K66" s="142">
        <f>SUM(K62:K65)</f>
        <v>33.727494166666666</v>
      </c>
      <c r="L66" s="142">
        <f>J66-K66</f>
        <v>-17.999714166666664</v>
      </c>
      <c r="M66" s="143">
        <f>IF(K66&lt;&gt;0, L66/K66, "N.A.")</f>
        <v>-0.53368074360104767</v>
      </c>
    </row>
    <row r="67" spans="1:13" x14ac:dyDescent="0.25">
      <c r="A67" s="525"/>
      <c r="C67" s="62"/>
      <c r="E67" s="159"/>
      <c r="F67" s="123"/>
      <c r="G67" s="123"/>
      <c r="H67" s="124"/>
      <c r="J67" s="159"/>
      <c r="K67" s="123"/>
      <c r="L67" s="123"/>
      <c r="M67" s="124"/>
    </row>
    <row r="68" spans="1:13" ht="13" x14ac:dyDescent="0.3">
      <c r="A68" s="525"/>
      <c r="C68" s="66" t="s">
        <v>136</v>
      </c>
      <c r="E68" s="159"/>
      <c r="F68" s="123"/>
      <c r="G68" s="123"/>
      <c r="H68" s="124"/>
      <c r="J68" s="159"/>
      <c r="K68" s="123"/>
      <c r="L68" s="123"/>
      <c r="M68" s="124"/>
    </row>
    <row r="69" spans="1:13" x14ac:dyDescent="0.25">
      <c r="A69" s="525"/>
      <c r="B69" t="s">
        <v>186</v>
      </c>
      <c r="C69" s="61" t="s">
        <v>137</v>
      </c>
      <c r="E69" s="159">
        <f>SUMIF('IN Act'!$B:$B,$B69,'IN Act'!$P:$P)</f>
        <v>139.75915000000032</v>
      </c>
      <c r="F69" s="123">
        <f>SUMIF('IN Bdg'!$B:$B,$B69,'IN Bdg'!$P:$P)</f>
        <v>39.673786666666658</v>
      </c>
      <c r="G69" s="123">
        <f t="shared" ref="G69:G74" si="8">E69-F69</f>
        <v>100.08536333333366</v>
      </c>
      <c r="H69" s="124">
        <f t="shared" ref="H69:H74" si="9">IF(F69&lt;&gt;0, G69/F69, "N.A.")</f>
        <v>2.5227076047526347</v>
      </c>
      <c r="J69" s="159">
        <f>SUMIF('IN Act'!$B:$B,$B69,'IN Act'!$Q:$Q)</f>
        <v>139.75915000000032</v>
      </c>
      <c r="K69" s="123">
        <f>SUMIF('IN Bdg'!$B:$B,$B69,'IN Bdg'!$Q:$Q)</f>
        <v>39.673786666666658</v>
      </c>
      <c r="L69" s="123">
        <f t="shared" ref="L69:L74" si="10">J69-K69</f>
        <v>100.08536333333366</v>
      </c>
      <c r="M69" s="124">
        <f t="shared" ref="M69:M74" si="11">IF(K69&lt;&gt;0, L69/K69, "N.A.")</f>
        <v>2.5227076047526347</v>
      </c>
    </row>
    <row r="70" spans="1:13" x14ac:dyDescent="0.25">
      <c r="A70" s="525"/>
      <c r="B70" t="s">
        <v>187</v>
      </c>
      <c r="C70" s="61" t="s">
        <v>138</v>
      </c>
      <c r="E70" s="161">
        <f>SUMIF('IN Act'!$B:$B,$B70,'IN Act'!$P:$P)</f>
        <v>7.211330000000002</v>
      </c>
      <c r="F70" s="127">
        <f>SUMIF('IN Bdg'!$B:$B,$B70,'IN Bdg'!$P:$P)</f>
        <v>11.275</v>
      </c>
      <c r="G70" s="127">
        <f t="shared" si="8"/>
        <v>-4.0636699999999983</v>
      </c>
      <c r="H70" s="128">
        <f t="shared" si="9"/>
        <v>-0.36041419068736125</v>
      </c>
      <c r="J70" s="161">
        <f>SUMIF('IN Act'!$B:$B,$B70,'IN Act'!$Q:$Q)</f>
        <v>7.211330000000002</v>
      </c>
      <c r="K70" s="127">
        <f>SUMIF('IN Bdg'!$B:$B,$B70,'IN Bdg'!$Q:$Q)</f>
        <v>11.275</v>
      </c>
      <c r="L70" s="127">
        <f t="shared" si="10"/>
        <v>-4.0636699999999983</v>
      </c>
      <c r="M70" s="128">
        <f t="shared" si="11"/>
        <v>-0.36041419068736125</v>
      </c>
    </row>
    <row r="71" spans="1:13" x14ac:dyDescent="0.25">
      <c r="A71" s="525"/>
      <c r="B71" t="s">
        <v>188</v>
      </c>
      <c r="C71" s="61" t="s">
        <v>396</v>
      </c>
      <c r="E71" s="161">
        <f>SUMIF('IN Act'!$B:$B,$B71,'IN Act'!$P:$P)</f>
        <v>0</v>
      </c>
      <c r="F71" s="127">
        <f>SUMIF('IN Bdg'!$B:$B,$B71,'IN Bdg'!$P:$P)</f>
        <v>16.5</v>
      </c>
      <c r="G71" s="127">
        <f t="shared" si="8"/>
        <v>-16.5</v>
      </c>
      <c r="H71" s="128">
        <f t="shared" si="9"/>
        <v>-1</v>
      </c>
      <c r="J71" s="161">
        <f>SUMIF('IN Act'!$B:$B,$B71,'IN Act'!$Q:$Q)</f>
        <v>0</v>
      </c>
      <c r="K71" s="127">
        <f>SUMIF('IN Bdg'!$B:$B,$B71,'IN Bdg'!$Q:$Q)</f>
        <v>16.5</v>
      </c>
      <c r="L71" s="127">
        <f t="shared" si="10"/>
        <v>-16.5</v>
      </c>
      <c r="M71" s="128">
        <f t="shared" si="11"/>
        <v>-1</v>
      </c>
    </row>
    <row r="72" spans="1:13" x14ac:dyDescent="0.25">
      <c r="A72" s="525"/>
      <c r="B72" t="s">
        <v>189</v>
      </c>
      <c r="C72" s="61" t="s">
        <v>95</v>
      </c>
      <c r="E72" s="161">
        <f>SUMIF('IN Act'!$B:$B,$B72,'IN Act'!$P:$P)</f>
        <v>0</v>
      </c>
      <c r="F72" s="127">
        <f>SUMIF('IN Bdg'!$B:$B,$B72,'IN Bdg'!$P:$P)</f>
        <v>13.5875</v>
      </c>
      <c r="G72" s="127">
        <f t="shared" si="8"/>
        <v>-13.5875</v>
      </c>
      <c r="H72" s="128">
        <f t="shared" si="9"/>
        <v>-1</v>
      </c>
      <c r="J72" s="161">
        <f>SUMIF('IN Act'!$B:$B,$B72,'IN Act'!$Q:$Q)</f>
        <v>0</v>
      </c>
      <c r="K72" s="127">
        <f>SUMIF('IN Bdg'!$B:$B,$B72,'IN Bdg'!$Q:$Q)</f>
        <v>13.5875</v>
      </c>
      <c r="L72" s="127">
        <f t="shared" si="10"/>
        <v>-13.5875</v>
      </c>
      <c r="M72" s="128">
        <f t="shared" si="11"/>
        <v>-1</v>
      </c>
    </row>
    <row r="73" spans="1:13" x14ac:dyDescent="0.25">
      <c r="A73" s="525"/>
      <c r="B73" t="s">
        <v>190</v>
      </c>
      <c r="C73" s="61" t="s">
        <v>397</v>
      </c>
      <c r="E73" s="161">
        <f>SUMIF('IN Act'!$B:$B,$B73,'IN Act'!$P:$P)</f>
        <v>5.339E-2</v>
      </c>
      <c r="F73" s="127">
        <f>SUMIF('IN Bdg'!$B:$B,$B73,'IN Bdg'!$P:$P)</f>
        <v>10.7</v>
      </c>
      <c r="G73" s="127">
        <f t="shared" si="8"/>
        <v>-10.646609999999999</v>
      </c>
      <c r="H73" s="128">
        <f t="shared" si="9"/>
        <v>-0.99501028037383177</v>
      </c>
      <c r="J73" s="161">
        <f>SUMIF('IN Act'!$B:$B,$B73,'IN Act'!$Q:$Q)</f>
        <v>5.339E-2</v>
      </c>
      <c r="K73" s="127">
        <f>SUMIF('IN Bdg'!$B:$B,$B73,'IN Bdg'!$Q:$Q)</f>
        <v>10.7</v>
      </c>
      <c r="L73" s="127">
        <f t="shared" si="10"/>
        <v>-10.646609999999999</v>
      </c>
      <c r="M73" s="128">
        <f t="shared" si="11"/>
        <v>-0.99501028037383177</v>
      </c>
    </row>
    <row r="74" spans="1:13" x14ac:dyDescent="0.25">
      <c r="A74" s="525"/>
      <c r="B74" t="s">
        <v>191</v>
      </c>
      <c r="C74" s="61" t="s">
        <v>139</v>
      </c>
      <c r="E74" s="161">
        <f>SUMIF('IN Act'!$B:$B,$B74,'IN Act'!$P:$P)</f>
        <v>3.3330000000000026E-2</v>
      </c>
      <c r="F74" s="127">
        <f>SUMIF('IN Bdg'!$B:$B,$B74,'IN Bdg'!$P:$P)</f>
        <v>17.940000000000001</v>
      </c>
      <c r="G74" s="127">
        <f t="shared" si="8"/>
        <v>-17.906670000000002</v>
      </c>
      <c r="H74" s="128">
        <f t="shared" si="9"/>
        <v>-0.99814214046822747</v>
      </c>
      <c r="J74" s="161">
        <f>SUMIF('IN Act'!$B:$B,$B74,'IN Act'!$Q:$Q)</f>
        <v>3.3330000000000026E-2</v>
      </c>
      <c r="K74" s="127">
        <f>SUMIF('IN Bdg'!$B:$B,$B74,'IN Bdg'!$Q:$Q)</f>
        <v>17.940000000000001</v>
      </c>
      <c r="L74" s="127">
        <f t="shared" si="10"/>
        <v>-17.906670000000002</v>
      </c>
      <c r="M74" s="128">
        <f t="shared" si="11"/>
        <v>-0.99814214046822747</v>
      </c>
    </row>
    <row r="75" spans="1:13" ht="13" x14ac:dyDescent="0.3">
      <c r="A75" s="525"/>
      <c r="C75" s="66" t="s">
        <v>140</v>
      </c>
      <c r="E75" s="167">
        <f>SUM(E69:E74)</f>
        <v>147.05720000000034</v>
      </c>
      <c r="F75" s="142">
        <f>SUM(F69:F74)</f>
        <v>109.67628666666666</v>
      </c>
      <c r="G75" s="142">
        <f>E75-F75</f>
        <v>37.38091333333368</v>
      </c>
      <c r="H75" s="143">
        <f>IF(F75&lt;&gt;0, G75/F75, "N.A.")</f>
        <v>0.34082949440970328</v>
      </c>
      <c r="J75" s="167">
        <f>SUM(J69:J74)</f>
        <v>147.05720000000034</v>
      </c>
      <c r="K75" s="142">
        <f>SUM(K69:K74)</f>
        <v>109.67628666666666</v>
      </c>
      <c r="L75" s="142">
        <f>J75-K75</f>
        <v>37.38091333333368</v>
      </c>
      <c r="M75" s="143">
        <f>IF(K75&lt;&gt;0, L75/K75, "N.A.")</f>
        <v>0.34082949440970328</v>
      </c>
    </row>
    <row r="76" spans="1:13" x14ac:dyDescent="0.25">
      <c r="A76" s="525"/>
      <c r="C76" s="62"/>
      <c r="E76" s="159"/>
      <c r="F76" s="123"/>
      <c r="G76" s="123"/>
      <c r="H76" s="124"/>
      <c r="J76" s="159"/>
      <c r="K76" s="123"/>
      <c r="L76" s="123"/>
      <c r="M76" s="124"/>
    </row>
    <row r="77" spans="1:13" ht="13" x14ac:dyDescent="0.3">
      <c r="A77" s="525"/>
      <c r="C77" s="66" t="s">
        <v>141</v>
      </c>
      <c r="E77" s="159"/>
      <c r="F77" s="123"/>
      <c r="G77" s="123"/>
      <c r="H77" s="124"/>
      <c r="J77" s="159"/>
      <c r="K77" s="123"/>
      <c r="L77" s="123"/>
      <c r="M77" s="124"/>
    </row>
    <row r="78" spans="1:13" x14ac:dyDescent="0.25">
      <c r="A78" s="525"/>
      <c r="B78" t="s">
        <v>192</v>
      </c>
      <c r="C78" s="61" t="s">
        <v>142</v>
      </c>
      <c r="E78" s="159">
        <f>SUMIF('IN Act'!$B:$B,$B78,'IN Act'!$P:$P)</f>
        <v>0.20911000000000002</v>
      </c>
      <c r="F78" s="123">
        <f>SUMIF('IN Bdg'!$B:$B,$B78,'IN Bdg'!$P:$P)</f>
        <v>18.952746312446092</v>
      </c>
      <c r="G78" s="123">
        <f>E78-F78</f>
        <v>-18.743636312446093</v>
      </c>
      <c r="H78" s="124">
        <f>IF(F78&lt;&gt;0, G78/F78, "N.A.")</f>
        <v>-0.98896677048525261</v>
      </c>
      <c r="J78" s="159">
        <f>SUMIF('IN Act'!$B:$B,$B78,'IN Act'!$Q:$Q)</f>
        <v>0.20911000000000002</v>
      </c>
      <c r="K78" s="123">
        <f>SUMIF('IN Bdg'!$B:$B,$B78,'IN Bdg'!$Q:$Q)</f>
        <v>18.952746312446092</v>
      </c>
      <c r="L78" s="123">
        <f>J78-K78</f>
        <v>-18.743636312446093</v>
      </c>
      <c r="M78" s="124">
        <f>IF(K78&lt;&gt;0, L78/K78, "N.A.")</f>
        <v>-0.98896677048525261</v>
      </c>
    </row>
    <row r="79" spans="1:13" x14ac:dyDescent="0.25">
      <c r="A79" s="525"/>
      <c r="B79" t="s">
        <v>193</v>
      </c>
      <c r="C79" s="61" t="s">
        <v>143</v>
      </c>
      <c r="E79" s="161">
        <f>SUMIF('IN Act'!$B:$B,$B79,'IN Act'!$P:$P)</f>
        <v>6.2799999999999995E-2</v>
      </c>
      <c r="F79" s="127">
        <f>SUMIF('IN Bdg'!$B:$B,$B79,'IN Bdg'!$P:$P)</f>
        <v>13.526097974404392</v>
      </c>
      <c r="G79" s="127">
        <f>E79-F79</f>
        <v>-13.463297974404393</v>
      </c>
      <c r="H79" s="128">
        <f>IF(F79&lt;&gt;0, G79/F79, "N.A.")</f>
        <v>-0.9953571236790657</v>
      </c>
      <c r="J79" s="161">
        <f>SUMIF('IN Act'!$B:$B,$B79,'IN Act'!$Q:$Q)</f>
        <v>6.2799999999999995E-2</v>
      </c>
      <c r="K79" s="127">
        <f>SUMIF('IN Bdg'!$B:$B,$B79,'IN Bdg'!$Q:$Q)</f>
        <v>13.526097974404392</v>
      </c>
      <c r="L79" s="127">
        <f>J79-K79</f>
        <v>-13.463297974404393</v>
      </c>
      <c r="M79" s="128">
        <f>IF(K79&lt;&gt;0, L79/K79, "N.A.")</f>
        <v>-0.9953571236790657</v>
      </c>
    </row>
    <row r="80" spans="1:13" ht="13" x14ac:dyDescent="0.3">
      <c r="A80" s="525"/>
      <c r="C80" s="67" t="s">
        <v>144</v>
      </c>
      <c r="E80" s="167">
        <f>SUM(E78:E79)</f>
        <v>0.27190999999999999</v>
      </c>
      <c r="F80" s="142">
        <f>SUM(F78:F79)</f>
        <v>32.478844286850482</v>
      </c>
      <c r="G80" s="142">
        <f>E80-F80</f>
        <v>-32.206934286850483</v>
      </c>
      <c r="H80" s="143">
        <f>IF(F80&lt;&gt;0, G80/F80, "N.A.")</f>
        <v>-0.99162808880764008</v>
      </c>
      <c r="J80" s="167">
        <f>SUM(J78:J79)</f>
        <v>0.27190999999999999</v>
      </c>
      <c r="K80" s="142">
        <f>SUM(K78:K79)</f>
        <v>32.478844286850482</v>
      </c>
      <c r="L80" s="142">
        <f>J80-K80</f>
        <v>-32.206934286850483</v>
      </c>
      <c r="M80" s="143">
        <f>IF(K80&lt;&gt;0, L80/K80, "N.A.")</f>
        <v>-0.99162808880764008</v>
      </c>
    </row>
    <row r="81" spans="1:13" x14ac:dyDescent="0.25">
      <c r="A81" s="525"/>
      <c r="C81" s="62"/>
      <c r="E81" s="159"/>
      <c r="F81" s="123"/>
      <c r="G81" s="123"/>
      <c r="H81" s="124"/>
      <c r="J81" s="159"/>
      <c r="K81" s="123"/>
      <c r="L81" s="123"/>
      <c r="M81" s="124"/>
    </row>
    <row r="82" spans="1:13" ht="13" x14ac:dyDescent="0.3">
      <c r="A82" s="525"/>
      <c r="C82" s="66" t="s">
        <v>145</v>
      </c>
      <c r="E82" s="159"/>
      <c r="F82" s="123"/>
      <c r="G82" s="123"/>
      <c r="H82" s="124"/>
      <c r="J82" s="159"/>
      <c r="K82" s="123"/>
      <c r="L82" s="123"/>
      <c r="M82" s="124"/>
    </row>
    <row r="83" spans="1:13" x14ac:dyDescent="0.25">
      <c r="A83" s="525"/>
      <c r="B83" t="s">
        <v>194</v>
      </c>
      <c r="C83" s="61" t="s">
        <v>146</v>
      </c>
      <c r="E83" s="159">
        <f>SUMIF('IN Act'!$B:$B,$B83,'IN Act'!$P:$P)</f>
        <v>0</v>
      </c>
      <c r="F83" s="123">
        <f>SUMIF('IN Bdg'!$B:$B,$B83,'IN Bdg'!$P:$P)</f>
        <v>4.7194399999999996</v>
      </c>
      <c r="G83" s="123">
        <f>E83-F83</f>
        <v>-4.7194399999999996</v>
      </c>
      <c r="H83" s="124">
        <f>IF(F83&lt;&gt;0, G83/F83, "N.A.")</f>
        <v>-1</v>
      </c>
      <c r="J83" s="159">
        <f>SUMIF('IN Act'!$B:$B,$B83,'IN Act'!$Q:$Q)</f>
        <v>0</v>
      </c>
      <c r="K83" s="123">
        <f>SUMIF('IN Bdg'!$B:$B,$B83,'IN Bdg'!$Q:$Q)</f>
        <v>4.7194399999999996</v>
      </c>
      <c r="L83" s="123">
        <f>J83-K83</f>
        <v>-4.7194399999999996</v>
      </c>
      <c r="M83" s="124">
        <f>IF(K83&lt;&gt;0, L83/K83, "N.A.")</f>
        <v>-1</v>
      </c>
    </row>
    <row r="84" spans="1:13" x14ac:dyDescent="0.25">
      <c r="A84" s="525"/>
      <c r="B84" t="s">
        <v>195</v>
      </c>
      <c r="C84" s="61" t="s">
        <v>412</v>
      </c>
      <c r="E84" s="161">
        <f>SUMIF('IN Act'!$B:$B,$B84,'IN Act'!$P:$P)</f>
        <v>1.3875</v>
      </c>
      <c r="F84" s="127">
        <f>SUMIF('IN Bdg'!$B:$B,$B84,'IN Bdg'!$P:$P)</f>
        <v>2.0186358333333332</v>
      </c>
      <c r="G84" s="127">
        <f>E84-F84</f>
        <v>-0.63113583333333323</v>
      </c>
      <c r="H84" s="128">
        <f>IF(F84&lt;&gt;0, G84/F84, "N.A.")</f>
        <v>-0.31265462690769302</v>
      </c>
      <c r="J84" s="161">
        <f>SUMIF('IN Act'!$B:$B,$B84,'IN Act'!$Q:$Q)</f>
        <v>1.3875</v>
      </c>
      <c r="K84" s="127">
        <f>SUMIF('IN Bdg'!$B:$B,$B84,'IN Bdg'!$Q:$Q)</f>
        <v>2.0186358333333332</v>
      </c>
      <c r="L84" s="127">
        <f>J84-K84</f>
        <v>-0.63113583333333323</v>
      </c>
      <c r="M84" s="128">
        <f>IF(K84&lt;&gt;0, L84/K84, "N.A.")</f>
        <v>-0.31265462690769302</v>
      </c>
    </row>
    <row r="85" spans="1:13" x14ac:dyDescent="0.25">
      <c r="A85" s="525"/>
      <c r="B85" t="s">
        <v>196</v>
      </c>
      <c r="C85" s="68" t="s">
        <v>147</v>
      </c>
      <c r="E85" s="168">
        <f>SUMIF('IN Act'!$B:$B,$B85,'IN Act'!$P:$P)</f>
        <v>1.1253599999999999</v>
      </c>
      <c r="F85" s="144">
        <f>SUMIF('IN Bdg'!$B:$B,$B85,'IN Bdg'!$P:$P)</f>
        <v>159.33333333333334</v>
      </c>
      <c r="G85" s="144">
        <f>E85-F85</f>
        <v>-158.20797333333334</v>
      </c>
      <c r="H85" s="145">
        <f>IF(F85&lt;&gt;0, G85/F85, "N.A.")</f>
        <v>-0.99293707112970708</v>
      </c>
      <c r="J85" s="168">
        <f>SUMIF('IN Act'!$B:$B,$B85,'IN Act'!$Q:$Q)</f>
        <v>1.1253599999999999</v>
      </c>
      <c r="K85" s="144">
        <f>SUMIF('IN Bdg'!$B:$B,$B85,'IN Bdg'!$Q:$Q)</f>
        <v>159.33333333333334</v>
      </c>
      <c r="L85" s="144">
        <f>J85-K85</f>
        <v>-158.20797333333334</v>
      </c>
      <c r="M85" s="145">
        <f>IF(K85&lt;&gt;0, L85/K85, "N.A.")</f>
        <v>-0.99293707112970708</v>
      </c>
    </row>
    <row r="86" spans="1:13" ht="13" x14ac:dyDescent="0.3">
      <c r="A86" s="525"/>
      <c r="C86" s="67" t="s">
        <v>148</v>
      </c>
      <c r="E86" s="167">
        <f>SUM(E83:E85)</f>
        <v>2.5128599999999999</v>
      </c>
      <c r="F86" s="142">
        <f>SUM(F83:F85)</f>
        <v>166.07140916666668</v>
      </c>
      <c r="G86" s="142">
        <f>E86-F86</f>
        <v>-163.55854916666669</v>
      </c>
      <c r="H86" s="143">
        <f>IF(F86&lt;&gt;0, G86/F86, "N.A.")</f>
        <v>-0.98486879823198148</v>
      </c>
      <c r="J86" s="167">
        <f>SUM(J83:J85)</f>
        <v>2.5128599999999999</v>
      </c>
      <c r="K86" s="142">
        <f>SUM(K83:K85)</f>
        <v>166.07140916666668</v>
      </c>
      <c r="L86" s="142">
        <f>J86-K86</f>
        <v>-163.55854916666669</v>
      </c>
      <c r="M86" s="143">
        <f>IF(K86&lt;&gt;0, L86/K86, "N.A.")</f>
        <v>-0.98486879823198148</v>
      </c>
    </row>
    <row r="87" spans="1:13" x14ac:dyDescent="0.25">
      <c r="A87" s="525"/>
      <c r="C87" s="62"/>
      <c r="E87" s="159"/>
      <c r="F87" s="123"/>
      <c r="G87" s="123"/>
      <c r="H87" s="124"/>
      <c r="J87" s="159"/>
      <c r="K87" s="123"/>
      <c r="L87" s="123"/>
      <c r="M87" s="124"/>
    </row>
    <row r="88" spans="1:13" ht="13" x14ac:dyDescent="0.3">
      <c r="A88" s="525"/>
      <c r="C88" s="66"/>
      <c r="E88" s="159"/>
      <c r="F88" s="123"/>
      <c r="G88" s="123"/>
      <c r="H88" s="124"/>
      <c r="J88" s="159"/>
      <c r="K88" s="123"/>
      <c r="L88" s="123"/>
      <c r="M88" s="124"/>
    </row>
    <row r="89" spans="1:13" ht="13" x14ac:dyDescent="0.3">
      <c r="A89" s="525"/>
      <c r="C89" s="64" t="s">
        <v>149</v>
      </c>
      <c r="E89" s="165">
        <f>E86+E80+E75+E66+E59+E53</f>
        <v>187.98620000000034</v>
      </c>
      <c r="F89" s="138">
        <f>F86+F80+F75+F66+F59+F53</f>
        <v>436.18640321399164</v>
      </c>
      <c r="G89" s="138">
        <f>G86+G80+G75+G66+G59+G53</f>
        <v>-248.20020321399124</v>
      </c>
      <c r="H89" s="139">
        <f>H86+H80+H75+H66+H58+H59+H51</f>
        <v>-3.3042565998161622</v>
      </c>
      <c r="J89" s="165">
        <f>J86+J80+J75+J66+J59+J53</f>
        <v>187.98620000000034</v>
      </c>
      <c r="K89" s="138">
        <f>K86+K80+K75+K66+K59+K53</f>
        <v>436.18640321399164</v>
      </c>
      <c r="L89" s="138">
        <f>L86+L80+L75+L66+L59+L53</f>
        <v>-248.20020321399124</v>
      </c>
      <c r="M89" s="139">
        <f>M86+M80+M75+M66+M58+M59+M51</f>
        <v>-3.3042565998161622</v>
      </c>
    </row>
    <row r="90" spans="1:13" ht="13" x14ac:dyDescent="0.3">
      <c r="A90" s="525"/>
      <c r="C90" s="21"/>
      <c r="E90" s="159"/>
      <c r="F90" s="123"/>
      <c r="G90" s="123"/>
      <c r="H90" s="124"/>
      <c r="J90" s="159"/>
      <c r="K90" s="123"/>
      <c r="L90" s="123"/>
      <c r="M90" s="124"/>
    </row>
    <row r="91" spans="1:13" ht="13" x14ac:dyDescent="0.3">
      <c r="A91" s="525"/>
      <c r="B91" t="s">
        <v>197</v>
      </c>
      <c r="C91" s="70" t="s">
        <v>150</v>
      </c>
      <c r="E91" s="169">
        <f>SUMIF('IN Act'!$B:$B,$B91,'IN Act'!$P:$P)</f>
        <v>0</v>
      </c>
      <c r="F91" s="146">
        <f>SUMIF('IN Bdg'!$B:$B,$B91,'IN Bdg'!$P:$P)</f>
        <v>174.9830072222224</v>
      </c>
      <c r="G91" s="146">
        <f>E91-F91</f>
        <v>-174.9830072222224</v>
      </c>
      <c r="H91" s="147">
        <f>IF(F91&lt;&gt;0, G91/F91, "N.A.")</f>
        <v>-1</v>
      </c>
      <c r="J91" s="169">
        <f>SUMIF('IN Act'!$B:$B,$B91,'IN Act'!$Q:$Q)</f>
        <v>0</v>
      </c>
      <c r="K91" s="146">
        <f>SUMIF('IN Bdg'!$B:$B,$B91,'IN Bdg'!$Q:$Q)</f>
        <v>174.9830072222224</v>
      </c>
      <c r="L91" s="146">
        <f>J91-K91</f>
        <v>-174.9830072222224</v>
      </c>
      <c r="M91" s="147">
        <f>IF(K91&lt;&gt;0, L91/K91, "N.A.")</f>
        <v>-1</v>
      </c>
    </row>
    <row r="92" spans="1:13" x14ac:dyDescent="0.25">
      <c r="A92" s="525"/>
      <c r="C92" s="11"/>
      <c r="E92" s="159"/>
      <c r="F92" s="123"/>
      <c r="G92" s="123"/>
      <c r="H92" s="124"/>
      <c r="J92" s="159"/>
      <c r="K92" s="123"/>
      <c r="L92" s="123"/>
      <c r="M92" s="124"/>
    </row>
    <row r="93" spans="1:13" ht="13" x14ac:dyDescent="0.3">
      <c r="A93" s="525"/>
      <c r="C93" s="64" t="s">
        <v>151</v>
      </c>
      <c r="E93" s="165">
        <f>E91+E89+E46+E41+E35</f>
        <v>297.76362000000029</v>
      </c>
      <c r="F93" s="138">
        <f>F91+F89+F46+F41+F35</f>
        <v>670.11337848515177</v>
      </c>
      <c r="G93" s="138">
        <f>E93-F93</f>
        <v>-372.34975848515148</v>
      </c>
      <c r="H93" s="139">
        <f>IF(F93&lt;&gt;0, G93/F93, "N.A.")</f>
        <v>-0.5556518798757305</v>
      </c>
      <c r="J93" s="165">
        <f>J91+J89+J46+J41+J35</f>
        <v>297.76362000000029</v>
      </c>
      <c r="K93" s="138">
        <f>K91+K89+K46+K41+K35</f>
        <v>670.11337848515177</v>
      </c>
      <c r="L93" s="138">
        <f>J93-K93</f>
        <v>-372.34975848515148</v>
      </c>
      <c r="M93" s="139">
        <f>IF(K93&lt;&gt;0, L93/K93, "N.A.")</f>
        <v>-0.5556518798757305</v>
      </c>
    </row>
    <row r="94" spans="1:13" x14ac:dyDescent="0.25">
      <c r="A94" s="525"/>
      <c r="C94" s="11"/>
      <c r="E94" s="159"/>
      <c r="F94" s="123"/>
      <c r="G94" s="123"/>
      <c r="H94" s="124"/>
      <c r="J94" s="159"/>
      <c r="K94" s="123"/>
      <c r="L94" s="123"/>
      <c r="M94" s="124"/>
    </row>
    <row r="95" spans="1:13" ht="13.5" thickBot="1" x14ac:dyDescent="0.35">
      <c r="A95" s="526"/>
      <c r="C95" s="73" t="s">
        <v>152</v>
      </c>
      <c r="E95" s="170">
        <f>E93+E26</f>
        <v>1497.4436400000004</v>
      </c>
      <c r="F95" s="131">
        <f>F93+F26</f>
        <v>1977.8754886116544</v>
      </c>
      <c r="G95" s="131">
        <f>E95-F95</f>
        <v>-480.431848611654</v>
      </c>
      <c r="H95" s="132">
        <f>IF(F95&lt;&gt;0, G95/F95, "N.A.")</f>
        <v>-0.24290297917028503</v>
      </c>
      <c r="J95" s="170">
        <f>J93+J26</f>
        <v>1497.4436400000004</v>
      </c>
      <c r="K95" s="131">
        <f>K93+K26</f>
        <v>1977.8754886116544</v>
      </c>
      <c r="L95" s="131">
        <f>J95-K95</f>
        <v>-480.431848611654</v>
      </c>
      <c r="M95" s="132">
        <f>IF(K95&lt;&gt;0, L95/K95, "N.A.")</f>
        <v>-0.24290297917028503</v>
      </c>
    </row>
  </sheetData>
  <sheetCalcPr fullCalcOnLoad="1"/>
  <mergeCells count="1">
    <mergeCell ref="A10:A95"/>
  </mergeCells>
  <phoneticPr fontId="24" type="noConversion"/>
  <printOptions horizontalCentered="1" verticalCentered="1"/>
  <pageMargins left="0.78740157480314965" right="0.78740157480314965" top="0.31496062992125984" bottom="0.27559055118110237" header="0.19685039370078741" footer="0.15748031496062992"/>
  <pageSetup paperSize="9" scale="74" fitToHeight="2" orientation="landscape" r:id="rId1"/>
  <headerFooter alignWithMargins="0">
    <oddFooter>&amp;LOp.Hop Inc&amp;C&amp;P</oddFooter>
  </headerFooter>
  <rowBreaks count="1" manualBreakCount="1">
    <brk id="47" min="2" max="12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zoomScale="75" zoomScaleNormal="75" zoomScaleSheetLayoutView="80" workbookViewId="0">
      <pane xSplit="4" ySplit="9" topLeftCell="E10" activePane="bottomRight" state="frozen"/>
      <selection activeCell="C13" sqref="C11:E14"/>
      <selection pane="topRight" activeCell="C13" sqref="C11:E14"/>
      <selection pane="bottomLeft" activeCell="C13" sqref="C11:E14"/>
      <selection pane="bottomRight" activeCell="E10" sqref="E10"/>
    </sheetView>
  </sheetViews>
  <sheetFormatPr defaultRowHeight="12.5" x14ac:dyDescent="0.25"/>
  <cols>
    <col min="1" max="1" width="5" bestFit="1" customWidth="1"/>
    <col min="2" max="2" width="7.54296875" customWidth="1"/>
    <col min="3" max="3" width="48.54296875" customWidth="1"/>
    <col min="4" max="4" width="1.7265625" customWidth="1"/>
    <col min="5" max="7" width="9.26953125" bestFit="1" customWidth="1"/>
    <col min="8" max="8" width="10.7265625" bestFit="1" customWidth="1"/>
    <col min="9" max="9" width="1.54296875" customWidth="1"/>
    <col min="10" max="10" width="9.26953125" bestFit="1" customWidth="1"/>
    <col min="11" max="11" width="10.7265625" customWidth="1"/>
    <col min="12" max="12" width="9.26953125" bestFit="1" customWidth="1"/>
    <col min="13" max="13" width="10" customWidth="1"/>
  </cols>
  <sheetData>
    <row r="1" spans="1:14" ht="13" x14ac:dyDescent="0.3">
      <c r="C1" s="8" t="str">
        <f>'P&amp;L'!C1</f>
        <v>Op.Hop Inc</v>
      </c>
    </row>
    <row r="2" spans="1:14" ht="13" x14ac:dyDescent="0.3">
      <c r="C2" s="9" t="str">
        <f>Month</f>
        <v>January 2025</v>
      </c>
    </row>
    <row r="3" spans="1:14" ht="13" x14ac:dyDescent="0.3">
      <c r="C3" s="8" t="str">
        <f>'P&amp;L'!C3</f>
        <v>EUR/1000</v>
      </c>
    </row>
    <row r="4" spans="1:14" ht="41.25" customHeight="1" thickBot="1" x14ac:dyDescent="0.3"/>
    <row r="5" spans="1:14" ht="13.5" thickBot="1" x14ac:dyDescent="0.35">
      <c r="C5" s="20"/>
      <c r="E5" s="74" t="str">
        <f>UPPER(Cov!$D$20)</f>
        <v>JANUARY 2025</v>
      </c>
      <c r="F5" s="75"/>
      <c r="G5" s="75"/>
      <c r="H5" s="76"/>
      <c r="J5" s="74" t="str">
        <f>"YTD "&amp;UPPER(Cov!$D$20)</f>
        <v>YTD JANUARY 2025</v>
      </c>
      <c r="K5" s="75"/>
      <c r="L5" s="75"/>
      <c r="M5" s="76"/>
    </row>
    <row r="6" spans="1:14" ht="13.5" thickBot="1" x14ac:dyDescent="0.35">
      <c r="C6" s="21"/>
      <c r="E6" s="77"/>
      <c r="F6" s="78"/>
      <c r="G6" s="78"/>
      <c r="H6" s="78"/>
      <c r="I6" s="78"/>
      <c r="J6" s="78"/>
      <c r="L6" s="77"/>
      <c r="M6" s="78"/>
    </row>
    <row r="7" spans="1:14" ht="13" x14ac:dyDescent="0.3">
      <c r="C7" s="22" t="s">
        <v>20</v>
      </c>
      <c r="E7" s="115" t="s">
        <v>157</v>
      </c>
      <c r="F7" s="116" t="s">
        <v>158</v>
      </c>
      <c r="G7" s="117" t="s">
        <v>154</v>
      </c>
      <c r="H7" s="118"/>
      <c r="I7" s="119"/>
      <c r="J7" s="115" t="s">
        <v>157</v>
      </c>
      <c r="K7" s="116" t="s">
        <v>158</v>
      </c>
      <c r="L7" s="117" t="s">
        <v>154</v>
      </c>
      <c r="M7" s="118"/>
    </row>
    <row r="8" spans="1:14" ht="13.5" thickBot="1" x14ac:dyDescent="0.35">
      <c r="C8" s="16"/>
      <c r="E8" s="120" t="s">
        <v>155</v>
      </c>
      <c r="F8" s="121" t="s">
        <v>155</v>
      </c>
      <c r="G8" s="122" t="s">
        <v>155</v>
      </c>
      <c r="H8" s="81" t="s">
        <v>156</v>
      </c>
      <c r="I8" s="119"/>
      <c r="J8" s="120" t="s">
        <v>155</v>
      </c>
      <c r="K8" s="121" t="s">
        <v>155</v>
      </c>
      <c r="L8" s="122" t="s">
        <v>155</v>
      </c>
      <c r="M8" s="81" t="s">
        <v>156</v>
      </c>
    </row>
    <row r="9" spans="1:14" ht="13" x14ac:dyDescent="0.25">
      <c r="A9" s="527" t="s">
        <v>326</v>
      </c>
      <c r="C9" s="49"/>
      <c r="E9" s="1"/>
      <c r="F9" s="2"/>
      <c r="G9" s="2"/>
      <c r="H9" s="3"/>
      <c r="J9" s="1"/>
      <c r="K9" s="2"/>
      <c r="L9" s="2"/>
      <c r="M9" s="3"/>
    </row>
    <row r="10" spans="1:14" x14ac:dyDescent="0.25">
      <c r="A10" s="528"/>
      <c r="B10" t="s">
        <v>215</v>
      </c>
      <c r="C10" s="50" t="s">
        <v>400</v>
      </c>
      <c r="E10" s="264">
        <f>SUMIF('IN Act'!$B:$B,$B10,'IN Act'!$P:$P)</f>
        <v>0</v>
      </c>
      <c r="F10" s="181">
        <f>SUMIF('IN Bdg'!$B:$B,$B10,'IN Bdg'!$P:$P)</f>
        <v>43.14033666666667</v>
      </c>
      <c r="G10" s="123">
        <f>E10-F10</f>
        <v>-43.14033666666667</v>
      </c>
      <c r="H10" s="124">
        <f>IF(F10&lt;&gt;0, G10/F10, "N.A.")</f>
        <v>-1</v>
      </c>
      <c r="J10" s="264">
        <f>SUMIF('IN Act'!$B:$B,$B10,'IN Act'!$Q:$Q)</f>
        <v>0</v>
      </c>
      <c r="K10" s="181">
        <f>SUMIF('IN Bdg'!$B:$B,$B10,'IN Bdg'!$Q:$Q)</f>
        <v>43.14033666666667</v>
      </c>
      <c r="L10" s="123">
        <f t="shared" ref="L10:L15" si="0">J10-K10</f>
        <v>-43.14033666666667</v>
      </c>
      <c r="M10" s="124">
        <f>IF(K10&lt;&gt;0, L10/K10, "N.A.")</f>
        <v>-1</v>
      </c>
    </row>
    <row r="11" spans="1:14" x14ac:dyDescent="0.25">
      <c r="A11" s="528"/>
      <c r="B11" t="s">
        <v>216</v>
      </c>
      <c r="C11" s="50" t="s">
        <v>401</v>
      </c>
      <c r="E11" s="161">
        <f>SUMIF('IN Act'!$B:$B,$B11,'IN Act'!$P:$P)</f>
        <v>0</v>
      </c>
      <c r="F11" s="127">
        <f>SUMIF('IN Bdg'!$B:$B,$B11,'IN Bdg'!$P:$P)</f>
        <v>67.67</v>
      </c>
      <c r="G11" s="127">
        <f t="shared" ref="G11:G24" si="1">E11-F11</f>
        <v>-67.67</v>
      </c>
      <c r="H11" s="128">
        <f t="shared" ref="H11:H24" si="2">IF(F11&lt;&gt;0, G11/F11, "N.A.")</f>
        <v>-1</v>
      </c>
      <c r="J11" s="161">
        <f>SUMIF('IN Act'!$B:$B,$B11,'IN Act'!$Q:$Q)</f>
        <v>0</v>
      </c>
      <c r="K11" s="127">
        <f>SUMIF('IN Bdg'!$B:$B,$B11,'IN Bdg'!$Q:$Q)</f>
        <v>67.67</v>
      </c>
      <c r="L11" s="127">
        <f t="shared" si="0"/>
        <v>-67.67</v>
      </c>
      <c r="M11" s="128">
        <f t="shared" ref="M11:M24" si="3">IF(K11&lt;&gt;0, L11/K11, "N.A.")</f>
        <v>-1</v>
      </c>
    </row>
    <row r="12" spans="1:14" x14ac:dyDescent="0.25">
      <c r="A12" s="528"/>
      <c r="B12" t="s">
        <v>217</v>
      </c>
      <c r="C12" s="50" t="s">
        <v>402</v>
      </c>
      <c r="E12" s="161">
        <f>SUMIF('IN Act'!$B:$B,$B12,'IN Act'!$P:$P)</f>
        <v>0</v>
      </c>
      <c r="F12" s="127">
        <f>SUMIF('IN Bdg'!$B:$B,$B12,'IN Bdg'!$P:$P)</f>
        <v>0.42760083333333332</v>
      </c>
      <c r="G12" s="127">
        <f t="shared" si="1"/>
        <v>-0.42760083333333332</v>
      </c>
      <c r="H12" s="128">
        <f t="shared" si="2"/>
        <v>-1</v>
      </c>
      <c r="J12" s="161">
        <f>SUMIF('IN Act'!$B:$B,$B12,'IN Act'!$Q:$Q)</f>
        <v>0</v>
      </c>
      <c r="K12" s="127">
        <f>SUMIF('IN Bdg'!$B:$B,$B12,'IN Bdg'!$Q:$Q)</f>
        <v>0.42760083333333332</v>
      </c>
      <c r="L12" s="127">
        <f t="shared" si="0"/>
        <v>-0.42760083333333332</v>
      </c>
      <c r="M12" s="128">
        <f t="shared" si="3"/>
        <v>-1</v>
      </c>
    </row>
    <row r="13" spans="1:14" x14ac:dyDescent="0.25">
      <c r="A13" s="528"/>
      <c r="B13" t="s">
        <v>218</v>
      </c>
      <c r="C13" s="51" t="s">
        <v>403</v>
      </c>
      <c r="E13" s="161">
        <f>SUMIF('IN Act'!$B:$B,$B13,'IN Act'!$P:$P)</f>
        <v>0</v>
      </c>
      <c r="F13" s="127">
        <f>SUMIF('IN Bdg'!$B:$B,$B13,'IN Bdg'!$P:$P)</f>
        <v>16.265793333333331</v>
      </c>
      <c r="G13" s="127">
        <f t="shared" si="1"/>
        <v>-16.265793333333331</v>
      </c>
      <c r="H13" s="128">
        <f t="shared" si="2"/>
        <v>-1</v>
      </c>
      <c r="J13" s="161">
        <f>SUMIF('IN Act'!$B:$B,$B13,'IN Act'!$Q:$Q)</f>
        <v>0</v>
      </c>
      <c r="K13" s="127">
        <f>SUMIF('IN Bdg'!$B:$B,$B13,'IN Bdg'!$Q:$Q)</f>
        <v>16.265793333333331</v>
      </c>
      <c r="L13" s="127">
        <f t="shared" si="0"/>
        <v>-16.265793333333331</v>
      </c>
      <c r="M13" s="128">
        <f t="shared" si="3"/>
        <v>-1</v>
      </c>
    </row>
    <row r="14" spans="1:14" x14ac:dyDescent="0.25">
      <c r="A14" s="528"/>
      <c r="B14" t="s">
        <v>219</v>
      </c>
      <c r="C14" s="51" t="s">
        <v>404</v>
      </c>
      <c r="E14" s="161">
        <f>SUMIF('IN Act'!$B:$B,$B14,'IN Act'!$P:$P)</f>
        <v>20.412209999999998</v>
      </c>
      <c r="F14" s="127">
        <f>SUMIF('IN Bdg'!$B:$B,$B14,'IN Bdg'!$P:$P)</f>
        <v>19.166666666666668</v>
      </c>
      <c r="G14" s="127">
        <f t="shared" si="1"/>
        <v>1.2455433333333303</v>
      </c>
      <c r="H14" s="128">
        <f t="shared" si="2"/>
        <v>6.4984869565217235E-2</v>
      </c>
      <c r="J14" s="161">
        <f>SUMIF('IN Act'!$B:$B,$B14,'IN Act'!$Q:$Q)</f>
        <v>20.412209999999998</v>
      </c>
      <c r="K14" s="127">
        <f>SUMIF('IN Bdg'!$B:$B,$B14,'IN Bdg'!$Q:$Q)</f>
        <v>19.166666666666668</v>
      </c>
      <c r="L14" s="127">
        <f t="shared" si="0"/>
        <v>1.2455433333333303</v>
      </c>
      <c r="M14" s="128">
        <f t="shared" si="3"/>
        <v>6.4984869565217235E-2</v>
      </c>
    </row>
    <row r="15" spans="1:14" ht="13" thickBot="1" x14ac:dyDescent="0.3">
      <c r="A15" s="529"/>
      <c r="B15" t="s">
        <v>220</v>
      </c>
      <c r="C15" s="129" t="s">
        <v>405</v>
      </c>
      <c r="E15" s="159">
        <f>SUMIF('IN Act'!$B:$B,$B15,'IN Act'!$P:$P)</f>
        <v>0.22725999999999999</v>
      </c>
      <c r="F15" s="123">
        <f>SUMIF('IN Bdg'!$B:$B,$B15,'IN Bdg'!$P:$P)</f>
        <v>5.6833333333333327</v>
      </c>
      <c r="G15" s="123">
        <f t="shared" si="1"/>
        <v>-5.4560733333333324</v>
      </c>
      <c r="H15" s="124">
        <f t="shared" si="2"/>
        <v>-0.96001290322580646</v>
      </c>
      <c r="J15" s="159">
        <f>SUMIF('IN Act'!$B:$B,$B15,'IN Act'!$Q:$Q)</f>
        <v>0.22725999999999999</v>
      </c>
      <c r="K15" s="123">
        <f>SUMIF('IN Bdg'!$B:$B,$B15,'IN Bdg'!$Q:$Q)</f>
        <v>5.6833333333333327</v>
      </c>
      <c r="L15" s="123">
        <f t="shared" si="0"/>
        <v>-5.4560733333333324</v>
      </c>
      <c r="M15" s="124">
        <f t="shared" si="3"/>
        <v>-0.96001290322580646</v>
      </c>
    </row>
    <row r="16" spans="1:14" s="8" customFormat="1" ht="13.5" thickBot="1" x14ac:dyDescent="0.35">
      <c r="C16" s="130" t="s">
        <v>153</v>
      </c>
      <c r="E16" s="170">
        <f>SUM(E10:E15)</f>
        <v>20.639469999999999</v>
      </c>
      <c r="F16" s="131">
        <f>SUM(F10:F15)</f>
        <v>152.35373083333334</v>
      </c>
      <c r="G16" s="131">
        <f t="shared" si="1"/>
        <v>-131.71426083333336</v>
      </c>
      <c r="H16" s="132">
        <f t="shared" si="2"/>
        <v>-0.86452927744461705</v>
      </c>
      <c r="J16" s="170">
        <f>SUM(J10:J15)</f>
        <v>20.639469999999999</v>
      </c>
      <c r="K16" s="131">
        <f>SUM(K10:K15)</f>
        <v>152.35373083333334</v>
      </c>
      <c r="L16" s="131">
        <f t="shared" ref="L16:L24" si="4">J16-K16</f>
        <v>-131.71426083333336</v>
      </c>
      <c r="M16" s="132">
        <f t="shared" si="3"/>
        <v>-0.86452927744461705</v>
      </c>
      <c r="N16" s="343"/>
    </row>
    <row r="17" spans="1:14" ht="30.75" customHeight="1" x14ac:dyDescent="0.25">
      <c r="A17" s="527" t="s">
        <v>421</v>
      </c>
      <c r="B17" t="s">
        <v>235</v>
      </c>
      <c r="C17" s="71" t="s">
        <v>406</v>
      </c>
      <c r="E17" s="161">
        <f>SUMIF('IN Act'!$B:$B,$B17,'IN Act'!$P:$P)</f>
        <v>1.8298400000000044</v>
      </c>
      <c r="F17" s="127">
        <f>SUMIF('IN Bdg'!$B:$B,$B17,'IN Bdg'!$P:$P)</f>
        <v>8.0833333333333321</v>
      </c>
      <c r="G17" s="127">
        <f>E17-F17</f>
        <v>-6.2534933333333278</v>
      </c>
      <c r="H17" s="128">
        <f>IF(F17&lt;&gt;0, G17/F17, "N.A.")</f>
        <v>-0.77362804123711282</v>
      </c>
      <c r="J17" s="161">
        <f>SUMIF('IN Act'!$B:$B,$B17,'IN Act'!$Q:$Q)</f>
        <v>1.8298400000000044</v>
      </c>
      <c r="K17" s="127">
        <f>SUMIF('IN Bdg'!$B:$B,$B17,'IN Bdg'!$Q:$Q)</f>
        <v>8.0833333333333321</v>
      </c>
      <c r="L17" s="127">
        <f>J17-K17</f>
        <v>-6.2534933333333278</v>
      </c>
      <c r="M17" s="128">
        <f>IF(K17&lt;&gt;0, L17/K17, "N.A.")</f>
        <v>-0.77362804123711282</v>
      </c>
    </row>
    <row r="18" spans="1:14" x14ac:dyDescent="0.25">
      <c r="A18" s="530"/>
      <c r="B18" t="s">
        <v>236</v>
      </c>
      <c r="C18" s="72" t="s">
        <v>407</v>
      </c>
      <c r="E18" s="159">
        <f>SUMIF('IN Act'!$B:$B,$B18,'IN Act'!$P:$P)</f>
        <v>-525</v>
      </c>
      <c r="F18" s="123">
        <f>SUMIF('IN Bdg'!$B:$B,$B18,'IN Bdg'!$P:$P)</f>
        <v>-158.28896538189406</v>
      </c>
      <c r="G18" s="123">
        <f>E18-F18</f>
        <v>-366.71103461810594</v>
      </c>
      <c r="H18" s="124">
        <f>IF(F18&lt;&gt;0, G18/F18, "N.A.")</f>
        <v>2.3167188801402849</v>
      </c>
      <c r="J18" s="159">
        <f>SUMIF('IN Act'!$B:$B,$B18,'IN Act'!$Q:$Q)</f>
        <v>-525</v>
      </c>
      <c r="K18" s="123">
        <f>SUMIF('IN Bdg'!$B:$B,$B18,'IN Bdg'!$Q:$Q)</f>
        <v>-158.28896538189406</v>
      </c>
      <c r="L18" s="123">
        <f>J18-K18</f>
        <v>-366.71103461810594</v>
      </c>
      <c r="M18" s="124">
        <f>IF(K18&lt;&gt;0, L18/K18, "N.A.")</f>
        <v>2.3167188801402849</v>
      </c>
    </row>
    <row r="19" spans="1:14" ht="13.5" thickBot="1" x14ac:dyDescent="0.35">
      <c r="A19" s="530"/>
      <c r="B19" s="8"/>
      <c r="C19" s="73" t="s">
        <v>413</v>
      </c>
      <c r="D19" s="8"/>
      <c r="E19" s="170">
        <f>SUM(E17:E18)</f>
        <v>-523.17016000000001</v>
      </c>
      <c r="F19" s="131">
        <f>SUM(F17:F18)</f>
        <v>-150.20563204856072</v>
      </c>
      <c r="G19" s="131">
        <f t="shared" si="1"/>
        <v>-372.96452795143932</v>
      </c>
      <c r="H19" s="132">
        <f t="shared" si="2"/>
        <v>2.4830262545072994</v>
      </c>
      <c r="I19" s="8"/>
      <c r="J19" s="170">
        <f>SUM(J17:J18)</f>
        <v>-523.17016000000001</v>
      </c>
      <c r="K19" s="131">
        <f>SUM(K17:K18)</f>
        <v>-150.20563204856072</v>
      </c>
      <c r="L19" s="131">
        <f t="shared" si="4"/>
        <v>-372.96452795143932</v>
      </c>
      <c r="M19" s="132">
        <f t="shared" si="3"/>
        <v>2.4830262545072994</v>
      </c>
      <c r="N19" s="343"/>
    </row>
    <row r="20" spans="1:14" ht="27.75" customHeight="1" x14ac:dyDescent="0.25">
      <c r="A20" s="530"/>
      <c r="B20" t="s">
        <v>239</v>
      </c>
      <c r="C20" s="71" t="s">
        <v>414</v>
      </c>
      <c r="E20" s="159">
        <f>SUMIF('IN Act'!$B:$B,$B20,'IN Act'!$P:$P)</f>
        <v>360</v>
      </c>
      <c r="F20" s="162">
        <f>SUMIF('IN Bdg'!$B:$B,$B20,'IN Bdg'!$P:$P)</f>
        <v>151.98202499999999</v>
      </c>
      <c r="G20" s="123">
        <f t="shared" si="1"/>
        <v>208.01797500000001</v>
      </c>
      <c r="H20" s="124">
        <f t="shared" si="2"/>
        <v>1.3687011671281524</v>
      </c>
      <c r="J20" s="159">
        <f>SUMIF('IN Act'!$B:$B,$B20,'IN Act'!$Q:$Q)</f>
        <v>360</v>
      </c>
      <c r="K20" s="162">
        <f>SUMIF('IN Bdg'!$B:$B,$B20,'IN Bdg'!$Q:$Q)</f>
        <v>151.98202499999999</v>
      </c>
      <c r="L20" s="123">
        <f t="shared" si="4"/>
        <v>208.01797500000001</v>
      </c>
      <c r="M20" s="124">
        <f t="shared" si="3"/>
        <v>1.3687011671281524</v>
      </c>
    </row>
    <row r="21" spans="1:14" x14ac:dyDescent="0.25">
      <c r="A21" s="530"/>
      <c r="B21" t="s">
        <v>241</v>
      </c>
      <c r="C21" s="71" t="s">
        <v>415</v>
      </c>
      <c r="E21" s="161">
        <f>SUMIF('IN Act'!$B:$B,$B21,'IN Act'!$P:$P)</f>
        <v>210</v>
      </c>
      <c r="F21" s="127">
        <f>SUMIF('IN Bdg'!$B:$B,$B21,'IN Bdg'!$P:$P)</f>
        <v>14.1</v>
      </c>
      <c r="G21" s="127">
        <f>E21-F21</f>
        <v>195.9</v>
      </c>
      <c r="H21" s="128">
        <f>IF(F21&lt;&gt;0, G21/F21, "N.A.")</f>
        <v>13.893617021276597</v>
      </c>
      <c r="J21" s="161">
        <f>SUMIF('IN Act'!$B:$B,$B21,'IN Act'!$Q:$Q)</f>
        <v>210</v>
      </c>
      <c r="K21" s="127">
        <f>SUMIF('IN Bdg'!$B:$B,$B21,'IN Bdg'!$Q:$Q)</f>
        <v>14.1</v>
      </c>
      <c r="L21" s="127">
        <f>J21-K21</f>
        <v>195.9</v>
      </c>
      <c r="M21" s="128">
        <f>IF(K21&lt;&gt;0, L21/K21, "N.A.")</f>
        <v>13.893617021276597</v>
      </c>
    </row>
    <row r="22" spans="1:14" x14ac:dyDescent="0.25">
      <c r="A22" s="530"/>
      <c r="B22" t="s">
        <v>243</v>
      </c>
      <c r="C22" s="71" t="s">
        <v>407</v>
      </c>
      <c r="E22" s="161">
        <f>SUMIF('IN Act'!$B:$B,$B22,'IN Act'!$P:$P)</f>
        <v>-45</v>
      </c>
      <c r="F22" s="127">
        <f>SUMIF('IN Bdg'!$B:$B,$B22,'IN Bdg'!$P:$P)</f>
        <v>75.607244598911421</v>
      </c>
      <c r="G22" s="127">
        <f>E22-F22</f>
        <v>-120.60724459891142</v>
      </c>
      <c r="H22" s="128">
        <f>IF(F22&lt;&gt;0, G22/F22, "N.A.")</f>
        <v>-1.5951810602108347</v>
      </c>
      <c r="J22" s="161">
        <f>SUMIF('IN Act'!$B:$B,$B22,'IN Act'!$Q:$Q)</f>
        <v>-45</v>
      </c>
      <c r="K22" s="127">
        <f>SUMIF('IN Bdg'!$B:$B,$B22,'IN Bdg'!$Q:$Q)</f>
        <v>75.607244598911421</v>
      </c>
      <c r="L22" s="127">
        <f>J22-K22</f>
        <v>-120.60724459891142</v>
      </c>
      <c r="M22" s="128">
        <f>IF(K22&lt;&gt;0, L22/K22, "N.A.")</f>
        <v>-1.5951810602108347</v>
      </c>
    </row>
    <row r="23" spans="1:14" ht="13" thickBot="1" x14ac:dyDescent="0.3">
      <c r="A23" s="531"/>
      <c r="B23" t="s">
        <v>245</v>
      </c>
      <c r="C23" s="71" t="s">
        <v>416</v>
      </c>
      <c r="E23" s="159">
        <f>SUMIF('IN Act'!$B:$B,$B23,'IN Act'!$P:$P)</f>
        <v>0</v>
      </c>
      <c r="F23" s="123">
        <f>SUMIF('IN Bdg'!$B:$B,$B23,'IN Bdg'!$P:$P)</f>
        <v>0</v>
      </c>
      <c r="G23" s="123">
        <f>E23-F23</f>
        <v>0</v>
      </c>
      <c r="H23" s="124" t="str">
        <f>IF(F23&lt;&gt;0, G23/F23, "N.A.")</f>
        <v>N.A.</v>
      </c>
      <c r="J23" s="159">
        <f>SUMIF('IN Act'!$B:$B,$B23,'IN Act'!$Q:$Q)</f>
        <v>0</v>
      </c>
      <c r="K23" s="123">
        <f>SUMIF('IN Bdg'!$B:$B,$B23,'IN Bdg'!$Q:$Q)</f>
        <v>0</v>
      </c>
      <c r="L23" s="123">
        <f>J23-K23</f>
        <v>0</v>
      </c>
      <c r="M23" s="124" t="str">
        <f>IF(K23&lt;&gt;0, L23/K23, "N.A.")</f>
        <v>N.A.</v>
      </c>
    </row>
    <row r="24" spans="1:14" ht="13.5" thickBot="1" x14ac:dyDescent="0.35">
      <c r="B24" s="8"/>
      <c r="C24" s="73" t="s">
        <v>417</v>
      </c>
      <c r="D24" s="8"/>
      <c r="E24" s="170">
        <f>SUM(E20:E23)</f>
        <v>525</v>
      </c>
      <c r="F24" s="131">
        <f>SUM(F20:F23)</f>
        <v>241.68926959891141</v>
      </c>
      <c r="G24" s="131">
        <f t="shared" si="1"/>
        <v>283.31073040108856</v>
      </c>
      <c r="H24" s="132">
        <f t="shared" si="2"/>
        <v>1.1722106276015021</v>
      </c>
      <c r="I24" s="8"/>
      <c r="J24" s="170">
        <f>SUM(J20:J23)</f>
        <v>525</v>
      </c>
      <c r="K24" s="131">
        <f>SUM(K20:K23)</f>
        <v>241.68926959891141</v>
      </c>
      <c r="L24" s="131">
        <f t="shared" si="4"/>
        <v>283.31073040108856</v>
      </c>
      <c r="M24" s="132">
        <f t="shared" si="3"/>
        <v>1.1722106276015021</v>
      </c>
      <c r="N24" s="343"/>
    </row>
  </sheetData>
  <sheetCalcPr fullCalcOnLoad="1"/>
  <mergeCells count="2">
    <mergeCell ref="A9:A15"/>
    <mergeCell ref="A17:A23"/>
  </mergeCells>
  <phoneticPr fontId="24" type="noConversion"/>
  <printOptions horizontalCentered="1" verticalCentered="1"/>
  <pageMargins left="0.78740157480314965" right="0.78740157480314965" top="0.31496062992125984" bottom="0.27559055118110237" header="0.19685039370078741" footer="0.15748031496062992"/>
  <pageSetup paperSize="9" scale="74" orientation="landscape" r:id="rId1"/>
  <headerFooter alignWithMargins="0">
    <oddFooter>&amp;LOp.Hop Inc&amp;C&amp;P</oddFooter>
  </headerFooter>
  <rowBreaks count="1" manualBreakCount="1">
    <brk id="16" min="2" max="12" man="1"/>
  </rowBreaks>
  <ignoredErrors>
    <ignoredError sqref="E16:K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showGridLines="0" tabSelected="1" zoomScale="70" zoomScaleNormal="70" workbookViewId="0"/>
  </sheetViews>
  <sheetFormatPr defaultColWidth="7.81640625" defaultRowHeight="13.5" x14ac:dyDescent="0.35"/>
  <cols>
    <col min="1" max="1" width="6" style="438" customWidth="1"/>
    <col min="2" max="2" width="7.81640625" style="438" customWidth="1"/>
    <col min="3" max="3" width="6.81640625" style="438" customWidth="1"/>
    <col min="4" max="4" width="20.54296875" style="438" bestFit="1" customWidth="1"/>
    <col min="5" max="6" width="7.81640625" style="438" customWidth="1"/>
    <col min="7" max="8" width="3.54296875" style="438" customWidth="1"/>
    <col min="9" max="10" width="7.81640625" style="438" customWidth="1"/>
    <col min="11" max="11" width="59.7265625" style="438" bestFit="1" customWidth="1"/>
    <col min="12" max="13" width="7.81640625" style="438" customWidth="1"/>
    <col min="14" max="15" width="3.54296875" style="438" customWidth="1"/>
    <col min="16" max="16" width="7.81640625" style="438" customWidth="1"/>
    <col min="17" max="17" width="32.26953125" style="438" customWidth="1"/>
    <col min="18" max="18" width="7.81640625" style="438" customWidth="1"/>
    <col min="19" max="19" width="3.54296875" style="438" customWidth="1"/>
    <col min="20" max="20" width="7.81640625" style="438" customWidth="1"/>
    <col min="21" max="21" width="31" style="438" bestFit="1" customWidth="1"/>
    <col min="22" max="23" width="8.1796875" style="438" bestFit="1" customWidth="1"/>
    <col min="24" max="16384" width="7.81640625" style="438"/>
  </cols>
  <sheetData>
    <row r="1" spans="2:29" ht="14" thickBot="1" x14ac:dyDescent="0.4">
      <c r="Q1" s="439"/>
      <c r="R1" s="439"/>
      <c r="S1" s="439"/>
    </row>
    <row r="2" spans="2:29" x14ac:dyDescent="0.35">
      <c r="I2" s="440"/>
      <c r="J2" s="441"/>
      <c r="K2" s="441"/>
      <c r="L2" s="441"/>
      <c r="M2" s="442"/>
      <c r="Q2" s="439"/>
      <c r="R2" s="439"/>
      <c r="S2" s="439"/>
    </row>
    <row r="3" spans="2:29" ht="19" x14ac:dyDescent="0.45">
      <c r="I3" s="443"/>
      <c r="J3" s="444"/>
      <c r="K3" s="445" t="s">
        <v>0</v>
      </c>
      <c r="L3" s="444"/>
      <c r="M3" s="446"/>
      <c r="Q3" s="439"/>
      <c r="R3" s="447"/>
      <c r="S3" s="439"/>
    </row>
    <row r="4" spans="2:29" ht="19" x14ac:dyDescent="0.45">
      <c r="I4" s="443"/>
      <c r="J4" s="444"/>
      <c r="K4" s="445" t="s">
        <v>1</v>
      </c>
      <c r="L4" s="444"/>
      <c r="M4" s="446"/>
      <c r="Q4" s="439"/>
      <c r="R4" s="447"/>
      <c r="S4" s="439"/>
    </row>
    <row r="5" spans="2:29" ht="20" thickBot="1" x14ac:dyDescent="0.5">
      <c r="I5" s="448"/>
      <c r="J5" s="449"/>
      <c r="K5" s="449"/>
      <c r="L5" s="449"/>
      <c r="M5" s="450"/>
      <c r="P5" s="439"/>
      <c r="Q5" s="451" t="s">
        <v>424</v>
      </c>
      <c r="R5" s="439"/>
      <c r="S5" s="439"/>
      <c r="U5" s="452" t="s">
        <v>459</v>
      </c>
    </row>
    <row r="6" spans="2:29" ht="19.5" x14ac:dyDescent="0.45">
      <c r="P6" s="439"/>
      <c r="Q6" s="453"/>
      <c r="R6" s="439"/>
      <c r="S6" s="439"/>
    </row>
    <row r="7" spans="2:29" ht="20" thickBot="1" x14ac:dyDescent="0.5">
      <c r="I7" s="444"/>
      <c r="J7" s="444"/>
      <c r="K7" s="444"/>
      <c r="L7" s="444"/>
      <c r="M7" s="444"/>
      <c r="P7" s="439"/>
      <c r="Q7" s="453" t="s">
        <v>428</v>
      </c>
      <c r="R7" s="439"/>
      <c r="S7" s="439"/>
    </row>
    <row r="8" spans="2:29" ht="19" x14ac:dyDescent="0.45">
      <c r="D8" s="454"/>
      <c r="E8" s="454"/>
      <c r="I8" s="440"/>
      <c r="J8" s="441"/>
      <c r="K8" s="455"/>
      <c r="L8" s="441"/>
      <c r="M8" s="442"/>
      <c r="P8" s="439"/>
      <c r="Q8" s="439"/>
      <c r="R8" s="439"/>
      <c r="S8" s="439"/>
    </row>
    <row r="9" spans="2:29" ht="19.5" thickBot="1" x14ac:dyDescent="0.5">
      <c r="D9" s="454"/>
      <c r="E9" s="454"/>
      <c r="I9" s="443"/>
      <c r="J9" s="444"/>
      <c r="K9" s="456" t="s">
        <v>2</v>
      </c>
      <c r="L9" s="444"/>
      <c r="M9" s="446"/>
      <c r="P9" s="439"/>
      <c r="Q9" s="439"/>
      <c r="R9" s="439"/>
      <c r="S9" s="439"/>
      <c r="U9" s="457" t="s">
        <v>471</v>
      </c>
      <c r="V9" s="458" t="s">
        <v>464</v>
      </c>
      <c r="W9" s="458" t="s">
        <v>296</v>
      </c>
    </row>
    <row r="10" spans="2:29" ht="19.5" thickBot="1" x14ac:dyDescent="0.5">
      <c r="B10" s="439"/>
      <c r="C10" s="439"/>
      <c r="E10" s="459"/>
      <c r="F10" s="439"/>
      <c r="I10" s="448"/>
      <c r="J10" s="449"/>
      <c r="K10" s="460"/>
      <c r="L10" s="449"/>
      <c r="M10" s="450"/>
      <c r="P10" s="461"/>
      <c r="Q10" s="462"/>
      <c r="R10" s="463"/>
      <c r="S10" s="439"/>
      <c r="U10" s="458" t="s">
        <v>159</v>
      </c>
      <c r="V10" s="464">
        <f>'P&amp;L'!E13</f>
        <v>3408.2393099999999</v>
      </c>
      <c r="W10" s="464">
        <f>'P&amp;L'!L13</f>
        <v>3408.2393099999999</v>
      </c>
    </row>
    <row r="11" spans="2:29" ht="19" x14ac:dyDescent="0.45">
      <c r="B11" s="439"/>
      <c r="C11" s="497" t="s">
        <v>424</v>
      </c>
      <c r="D11" s="498"/>
      <c r="E11" s="499"/>
      <c r="F11" s="439"/>
      <c r="I11" s="444"/>
      <c r="J11" s="444"/>
      <c r="K11" s="456"/>
      <c r="L11" s="444"/>
      <c r="M11" s="444"/>
      <c r="P11" s="465"/>
      <c r="Q11" s="466" t="s">
        <v>0</v>
      </c>
      <c r="R11" s="467"/>
      <c r="S11" s="439"/>
      <c r="U11" s="458" t="s">
        <v>460</v>
      </c>
      <c r="V11" s="464">
        <f>'P&amp;L'!E15</f>
        <v>3018.5813399999997</v>
      </c>
      <c r="W11" s="464">
        <f>'P&amp;L'!L15</f>
        <v>3018.5813399999997</v>
      </c>
      <c r="AA11" s="468"/>
      <c r="AB11" s="468"/>
    </row>
    <row r="12" spans="2:29" ht="15.5" x14ac:dyDescent="0.35">
      <c r="B12" s="439"/>
      <c r="C12" s="500"/>
      <c r="D12" s="501"/>
      <c r="E12" s="502"/>
      <c r="F12" s="439"/>
      <c r="I12" s="444"/>
      <c r="J12" s="444"/>
      <c r="K12" s="444"/>
      <c r="L12" s="444"/>
      <c r="M12" s="444"/>
      <c r="N12" s="444"/>
      <c r="P12" s="465"/>
      <c r="Q12" s="466" t="s">
        <v>1</v>
      </c>
      <c r="R12" s="467"/>
      <c r="S12" s="439"/>
      <c r="U12" s="458" t="s">
        <v>461</v>
      </c>
      <c r="V12" s="464">
        <f>'P&amp;L'!E25</f>
        <v>597.53039999999919</v>
      </c>
      <c r="W12" s="464">
        <f>'P&amp;L'!L25</f>
        <v>597.53039999999919</v>
      </c>
    </row>
    <row r="13" spans="2:29" ht="16" thickBot="1" x14ac:dyDescent="0.4">
      <c r="B13" s="439"/>
      <c r="C13" s="503" t="s">
        <v>423</v>
      </c>
      <c r="D13" s="504"/>
      <c r="E13" s="505"/>
      <c r="F13" s="469"/>
      <c r="G13" s="444"/>
      <c r="H13" s="470"/>
      <c r="I13" s="471"/>
      <c r="J13" s="472" t="s">
        <v>1</v>
      </c>
      <c r="K13" s="472"/>
      <c r="L13" s="472"/>
      <c r="M13" s="473">
        <v>3</v>
      </c>
      <c r="N13" s="444"/>
      <c r="P13" s="474"/>
      <c r="Q13" s="475"/>
      <c r="R13" s="476"/>
      <c r="S13" s="439"/>
      <c r="U13" s="458" t="s">
        <v>462</v>
      </c>
      <c r="V13" s="464">
        <f>'P&amp;L'!E37</f>
        <v>-911.46960000000081</v>
      </c>
      <c r="W13" s="464">
        <f>'P&amp;L'!L37</f>
        <v>-911.46960000000081</v>
      </c>
      <c r="AC13" s="468"/>
    </row>
    <row r="14" spans="2:29" ht="18" customHeight="1" x14ac:dyDescent="0.35">
      <c r="B14" s="439"/>
      <c r="C14" s="506"/>
      <c r="D14" s="507"/>
      <c r="E14" s="508"/>
      <c r="F14" s="469"/>
      <c r="G14" s="444"/>
      <c r="H14" s="444"/>
      <c r="I14" s="477"/>
      <c r="J14" s="478"/>
      <c r="K14" s="479" t="s">
        <v>459</v>
      </c>
      <c r="L14" s="478"/>
      <c r="M14" s="480">
        <v>4</v>
      </c>
      <c r="N14" s="444"/>
      <c r="P14" s="439"/>
      <c r="Q14" s="439"/>
      <c r="R14" s="439"/>
      <c r="S14" s="439"/>
      <c r="U14" s="458"/>
      <c r="V14" s="458"/>
      <c r="W14" s="458"/>
      <c r="AC14" s="468"/>
    </row>
    <row r="15" spans="2:29" ht="18" customHeight="1" thickBot="1" x14ac:dyDescent="0.4">
      <c r="B15" s="439"/>
      <c r="C15" s="439"/>
      <c r="D15" s="439"/>
      <c r="E15" s="439"/>
      <c r="F15" s="469"/>
      <c r="G15" s="444"/>
      <c r="H15" s="470"/>
      <c r="I15" s="477"/>
      <c r="J15" s="478"/>
      <c r="K15" s="478" t="s">
        <v>3</v>
      </c>
      <c r="L15" s="478"/>
      <c r="M15" s="480">
        <v>5</v>
      </c>
      <c r="N15" s="444"/>
      <c r="P15" s="439"/>
      <c r="Q15" s="439"/>
      <c r="R15" s="439"/>
      <c r="S15" s="439"/>
      <c r="U15" s="458"/>
      <c r="V15" s="458"/>
      <c r="W15" s="458"/>
    </row>
    <row r="16" spans="2:29" ht="19" x14ac:dyDescent="0.45">
      <c r="B16" s="481"/>
      <c r="C16" s="482"/>
      <c r="D16" s="482"/>
      <c r="E16" s="482"/>
      <c r="F16" s="483"/>
      <c r="G16" s="444"/>
      <c r="H16" s="444"/>
      <c r="I16" s="477"/>
      <c r="J16" s="478"/>
      <c r="K16" s="478" t="s">
        <v>4</v>
      </c>
      <c r="L16" s="478"/>
      <c r="M16" s="480">
        <v>6</v>
      </c>
      <c r="N16" s="444"/>
      <c r="P16" s="439"/>
      <c r="Q16" s="439"/>
      <c r="R16" s="439"/>
      <c r="S16" s="439"/>
      <c r="U16" s="457" t="s">
        <v>472</v>
      </c>
      <c r="V16" s="458"/>
      <c r="W16" s="458" t="s">
        <v>296</v>
      </c>
      <c r="AC16" s="468"/>
    </row>
    <row r="17" spans="1:29" ht="19" x14ac:dyDescent="0.45">
      <c r="B17" s="484"/>
      <c r="C17" s="485"/>
      <c r="D17" s="486"/>
      <c r="E17" s="486"/>
      <c r="F17" s="487"/>
      <c r="G17" s="444"/>
      <c r="H17" s="444"/>
      <c r="I17" s="477"/>
      <c r="J17" s="478"/>
      <c r="K17" s="478" t="s">
        <v>5</v>
      </c>
      <c r="L17" s="478"/>
      <c r="M17" s="480">
        <v>7</v>
      </c>
      <c r="P17" s="439"/>
      <c r="Q17" s="439"/>
      <c r="R17" s="439"/>
      <c r="S17" s="439"/>
      <c r="U17" s="458" t="s">
        <v>463</v>
      </c>
      <c r="V17" s="458"/>
      <c r="W17" s="464">
        <f>CF!$D$26</f>
        <v>9699.3424667406725</v>
      </c>
      <c r="AC17" s="468"/>
    </row>
    <row r="18" spans="1:29" ht="19.5" thickBot="1" x14ac:dyDescent="0.5">
      <c r="B18" s="484"/>
      <c r="C18" s="485"/>
      <c r="D18" s="486" t="s">
        <v>0</v>
      </c>
      <c r="E18" s="486"/>
      <c r="F18" s="487"/>
      <c r="G18" s="444"/>
      <c r="H18" s="444"/>
      <c r="I18" s="477"/>
      <c r="J18" s="478"/>
      <c r="K18" s="478" t="s">
        <v>6</v>
      </c>
      <c r="L18" s="478"/>
      <c r="M18" s="480">
        <v>9</v>
      </c>
      <c r="P18" s="439"/>
      <c r="Q18" s="439"/>
      <c r="R18" s="439"/>
      <c r="S18" s="439"/>
      <c r="U18" s="458" t="s">
        <v>465</v>
      </c>
      <c r="V18" s="464"/>
      <c r="W18" s="464">
        <f>CF!$D$30</f>
        <v>-893.05119000001287</v>
      </c>
      <c r="AC18" s="468"/>
    </row>
    <row r="19" spans="1:29" ht="19" x14ac:dyDescent="0.45">
      <c r="B19" s="484"/>
      <c r="C19" s="485"/>
      <c r="D19" s="486" t="s">
        <v>1</v>
      </c>
      <c r="E19" s="486"/>
      <c r="F19" s="487"/>
      <c r="G19" s="444"/>
      <c r="H19" s="444"/>
      <c r="I19" s="477"/>
      <c r="K19" s="478" t="s">
        <v>7</v>
      </c>
      <c r="L19" s="478"/>
      <c r="M19" s="480">
        <v>10</v>
      </c>
      <c r="P19" s="461"/>
      <c r="Q19" s="462"/>
      <c r="R19" s="463"/>
      <c r="S19" s="439"/>
      <c r="U19" s="458" t="s">
        <v>466</v>
      </c>
      <c r="V19" s="464"/>
      <c r="W19" s="464">
        <f>CF!$D$37</f>
        <v>-5582.7640075126319</v>
      </c>
      <c r="AC19" s="468"/>
    </row>
    <row r="20" spans="1:29" ht="19.5" thickBot="1" x14ac:dyDescent="0.5">
      <c r="B20" s="484"/>
      <c r="C20" s="485"/>
      <c r="D20" s="488" t="str">
        <f>VLOOKUP(Cov!D29,$B$33:$C$44,2,FALSE)&amp;" "&amp;$K$29</f>
        <v>January 2025</v>
      </c>
      <c r="E20" s="486"/>
      <c r="F20" s="487"/>
      <c r="G20" s="444"/>
      <c r="H20" s="444"/>
      <c r="I20" s="477"/>
      <c r="J20" s="472" t="s">
        <v>8</v>
      </c>
      <c r="K20" s="472"/>
      <c r="L20" s="473"/>
      <c r="M20" s="473"/>
      <c r="P20" s="465"/>
      <c r="Q20" s="456"/>
      <c r="R20" s="467"/>
      <c r="S20" s="439"/>
      <c r="U20" s="458" t="s">
        <v>467</v>
      </c>
      <c r="V20" s="464"/>
      <c r="W20" s="489">
        <f>SUM(W17:W19)</f>
        <v>3223.5272692280278</v>
      </c>
    </row>
    <row r="21" spans="1:29" ht="18" customHeight="1" x14ac:dyDescent="0.45">
      <c r="B21" s="484"/>
      <c r="C21" s="485"/>
      <c r="D21" s="486"/>
      <c r="E21" s="486"/>
      <c r="F21" s="487"/>
      <c r="G21" s="444"/>
      <c r="H21" s="444"/>
      <c r="I21" s="471"/>
      <c r="J21" s="478"/>
      <c r="K21" s="478" t="s">
        <v>9</v>
      </c>
      <c r="L21" s="478"/>
      <c r="M21" s="480">
        <v>11</v>
      </c>
      <c r="P21" s="465"/>
      <c r="Q21" s="456" t="s">
        <v>12</v>
      </c>
      <c r="R21" s="467"/>
      <c r="S21" s="439"/>
      <c r="U21" s="458"/>
      <c r="V21" s="458"/>
      <c r="W21" s="458"/>
    </row>
    <row r="22" spans="1:29" ht="18" customHeight="1" thickBot="1" x14ac:dyDescent="0.5">
      <c r="B22" s="490"/>
      <c r="C22" s="491"/>
      <c r="D22" s="491"/>
      <c r="E22" s="491"/>
      <c r="F22" s="492"/>
      <c r="G22" s="444"/>
      <c r="H22" s="444"/>
      <c r="I22" s="477"/>
      <c r="J22" s="478"/>
      <c r="K22" s="478" t="s">
        <v>458</v>
      </c>
      <c r="L22" s="478"/>
      <c r="M22" s="480">
        <v>12</v>
      </c>
      <c r="P22" s="465"/>
      <c r="Q22" s="456"/>
      <c r="R22" s="467"/>
      <c r="S22" s="439"/>
      <c r="U22" s="458"/>
      <c r="V22" s="458"/>
      <c r="W22" s="458"/>
    </row>
    <row r="23" spans="1:29" ht="18" customHeight="1" x14ac:dyDescent="0.45">
      <c r="G23" s="444"/>
      <c r="H23" s="444"/>
      <c r="I23" s="477"/>
      <c r="J23" s="478"/>
      <c r="K23" s="478" t="s">
        <v>426</v>
      </c>
      <c r="L23" s="478"/>
      <c r="M23" s="480">
        <v>13</v>
      </c>
      <c r="P23" s="465"/>
      <c r="Q23" s="456" t="s">
        <v>13</v>
      </c>
      <c r="R23" s="467"/>
      <c r="S23" s="439"/>
      <c r="U23" s="457" t="s">
        <v>473</v>
      </c>
      <c r="V23" s="458" t="s">
        <v>464</v>
      </c>
      <c r="W23" s="458" t="s">
        <v>296</v>
      </c>
    </row>
    <row r="24" spans="1:29" ht="18" customHeight="1" x14ac:dyDescent="0.35">
      <c r="F24" s="444"/>
      <c r="G24" s="444"/>
      <c r="H24" s="444"/>
      <c r="I24" s="477"/>
      <c r="J24" s="478"/>
      <c r="K24" s="478" t="s">
        <v>10</v>
      </c>
      <c r="L24" s="478"/>
      <c r="M24" s="480">
        <v>14</v>
      </c>
      <c r="P24" s="465"/>
      <c r="Q24" s="439"/>
      <c r="R24" s="467"/>
      <c r="S24" s="439"/>
      <c r="U24" s="458" t="s">
        <v>468</v>
      </c>
      <c r="V24" s="493">
        <f>(V13/(SUM(BS!D49:D53,BS!D55,BS!U49:U53,BS!U55)/2))*12</f>
        <v>-7.0027080167317318E-2</v>
      </c>
      <c r="W24" s="493">
        <f>(W13/(SUM(BS!D49:D53,BS!D55,BS!U49:U53,BS!U55)/2)/Mese)*12</f>
        <v>-7.0027080167317318E-2</v>
      </c>
    </row>
    <row r="25" spans="1:29" ht="18" customHeight="1" thickBot="1" x14ac:dyDescent="0.4">
      <c r="F25" s="444"/>
      <c r="G25" s="444"/>
      <c r="H25" s="444"/>
      <c r="I25" s="477"/>
      <c r="J25" s="478"/>
      <c r="K25" s="478" t="s">
        <v>11</v>
      </c>
      <c r="L25" s="478"/>
      <c r="M25" s="480">
        <v>15</v>
      </c>
      <c r="P25" s="474"/>
      <c r="Q25" s="475"/>
      <c r="R25" s="476"/>
      <c r="S25" s="439"/>
      <c r="U25" s="458" t="s">
        <v>470</v>
      </c>
      <c r="V25" s="493">
        <f>V12/V$10</f>
        <v>0.17531937920169086</v>
      </c>
      <c r="W25" s="493">
        <f>W12/W$10</f>
        <v>0.17531937920169086</v>
      </c>
    </row>
    <row r="26" spans="1:29" ht="18" customHeight="1" x14ac:dyDescent="0.35">
      <c r="F26" s="444"/>
      <c r="G26" s="444"/>
      <c r="H26" s="444"/>
      <c r="I26" s="477"/>
      <c r="J26" s="478"/>
      <c r="K26" s="478" t="s">
        <v>457</v>
      </c>
      <c r="L26" s="478"/>
      <c r="M26" s="480">
        <v>17</v>
      </c>
      <c r="Q26" s="439"/>
      <c r="R26" s="439"/>
      <c r="S26" s="439"/>
      <c r="U26" s="458" t="s">
        <v>469</v>
      </c>
      <c r="V26" s="493">
        <f>(V13/AVERAGE(BS!S45,BS!U45))*12</f>
        <v>-0.1385785514379051</v>
      </c>
      <c r="W26" s="493">
        <f>(W12/AVERAGE(BS!S45,BS!U45))/Mese*12</f>
        <v>9.0847678597412149E-2</v>
      </c>
    </row>
    <row r="27" spans="1:29" ht="18" customHeight="1" x14ac:dyDescent="0.35">
      <c r="F27" s="444"/>
      <c r="G27" s="444"/>
      <c r="H27" s="444"/>
      <c r="I27" s="477"/>
      <c r="Q27" s="439"/>
      <c r="R27" s="439"/>
      <c r="S27" s="439"/>
    </row>
    <row r="28" spans="1:29" ht="14" thickBot="1" x14ac:dyDescent="0.4">
      <c r="G28" s="444"/>
      <c r="H28" s="444"/>
      <c r="I28" s="444"/>
      <c r="Q28" s="439"/>
      <c r="R28" s="439"/>
      <c r="S28" s="439"/>
    </row>
    <row r="29" spans="1:29" ht="32.5" thickBot="1" x14ac:dyDescent="0.75">
      <c r="A29" s="494"/>
      <c r="B29" s="494"/>
      <c r="C29" s="495" t="s">
        <v>311</v>
      </c>
      <c r="D29" s="394">
        <v>1</v>
      </c>
      <c r="E29" s="494"/>
      <c r="J29" s="495" t="s">
        <v>324</v>
      </c>
      <c r="K29" s="394">
        <v>2025</v>
      </c>
      <c r="Q29" s="439"/>
      <c r="R29" s="439"/>
      <c r="S29" s="439"/>
    </row>
    <row r="33" spans="2:3" x14ac:dyDescent="0.35">
      <c r="B33" s="438">
        <v>1</v>
      </c>
      <c r="C33" s="438" t="s">
        <v>312</v>
      </c>
    </row>
    <row r="34" spans="2:3" x14ac:dyDescent="0.35">
      <c r="B34" s="438">
        <v>2</v>
      </c>
      <c r="C34" s="438" t="s">
        <v>313</v>
      </c>
    </row>
    <row r="35" spans="2:3" x14ac:dyDescent="0.35">
      <c r="B35" s="438">
        <v>3</v>
      </c>
      <c r="C35" s="438" t="s">
        <v>314</v>
      </c>
    </row>
    <row r="36" spans="2:3" x14ac:dyDescent="0.35">
      <c r="B36" s="438">
        <v>4</v>
      </c>
      <c r="C36" s="438" t="s">
        <v>315</v>
      </c>
    </row>
    <row r="37" spans="2:3" x14ac:dyDescent="0.35">
      <c r="B37" s="438">
        <v>5</v>
      </c>
      <c r="C37" s="438" t="s">
        <v>316</v>
      </c>
    </row>
    <row r="38" spans="2:3" x14ac:dyDescent="0.35">
      <c r="B38" s="438">
        <v>6</v>
      </c>
      <c r="C38" s="438" t="s">
        <v>317</v>
      </c>
    </row>
    <row r="39" spans="2:3" x14ac:dyDescent="0.35">
      <c r="B39" s="438">
        <v>7</v>
      </c>
      <c r="C39" s="438" t="s">
        <v>318</v>
      </c>
    </row>
    <row r="40" spans="2:3" x14ac:dyDescent="0.35">
      <c r="B40" s="438">
        <v>8</v>
      </c>
      <c r="C40" s="438" t="s">
        <v>319</v>
      </c>
    </row>
    <row r="41" spans="2:3" x14ac:dyDescent="0.35">
      <c r="B41" s="438">
        <v>9</v>
      </c>
      <c r="C41" s="438" t="s">
        <v>320</v>
      </c>
    </row>
    <row r="42" spans="2:3" x14ac:dyDescent="0.35">
      <c r="B42" s="438">
        <v>10</v>
      </c>
      <c r="C42" s="438" t="s">
        <v>321</v>
      </c>
    </row>
    <row r="43" spans="2:3" x14ac:dyDescent="0.35">
      <c r="B43" s="438">
        <v>11</v>
      </c>
      <c r="C43" s="438" t="s">
        <v>322</v>
      </c>
    </row>
    <row r="44" spans="2:3" x14ac:dyDescent="0.35">
      <c r="B44" s="438">
        <v>12</v>
      </c>
      <c r="C44" s="438" t="s">
        <v>323</v>
      </c>
    </row>
  </sheetData>
  <mergeCells count="2">
    <mergeCell ref="C11:E12"/>
    <mergeCell ref="C13:E14"/>
  </mergeCells>
  <phoneticPr fontId="24" type="noConversion"/>
  <printOptions horizontalCentered="1" verticalCentered="1"/>
  <pageMargins left="0.78740157480314965" right="0.78740157480314965" top="0.31496062992125984" bottom="0.27559055118110237" header="0.19685039370078741" footer="0.15748031496062992"/>
  <pageSetup paperSize="9" scale="75" orientation="landscape" r:id="rId1"/>
  <headerFooter alignWithMargins="0">
    <oddFooter>&amp;LOp.Hop Inc</oddFooter>
  </headerFooter>
  <colBreaks count="3" manualBreakCount="3">
    <brk id="7" max="1048575" man="1"/>
    <brk id="14" max="26" man="1"/>
    <brk id="19" max="26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F6" sqref="F6"/>
    </sheetView>
  </sheetViews>
  <sheetFormatPr defaultRowHeight="12.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5"/>
  <sheetViews>
    <sheetView zoomScale="85" zoomScaleNormal="75" workbookViewId="0">
      <pane xSplit="3" ySplit="3" topLeftCell="D4" activePane="bottomRight" state="frozen"/>
      <selection activeCell="A17" activeCellId="1" sqref="A9:A15 A17:A23"/>
      <selection pane="topRight" activeCell="A17" activeCellId="1" sqref="A9:A15 A17:A23"/>
      <selection pane="bottomLeft" activeCell="A17" activeCellId="1" sqref="A9:A15 A17:A23"/>
      <selection pane="bottomRight" activeCell="D2" sqref="D2:O2"/>
    </sheetView>
  </sheetViews>
  <sheetFormatPr defaultColWidth="9.1796875" defaultRowHeight="12.5" outlineLevelCol="1" x14ac:dyDescent="0.25"/>
  <cols>
    <col min="1" max="1" width="5.81640625" style="369" customWidth="1" outlineLevel="1"/>
    <col min="2" max="2" width="10.453125" style="369" customWidth="1"/>
    <col min="3" max="3" width="42.54296875" style="369" customWidth="1"/>
    <col min="4" max="4" width="10.453125" style="385" bestFit="1" customWidth="1" outlineLevel="1"/>
    <col min="5" max="7" width="8.81640625" style="385" bestFit="1" customWidth="1" outlineLevel="1"/>
    <col min="8" max="8" width="9.453125" style="385" bestFit="1" customWidth="1" outlineLevel="1"/>
    <col min="9" max="9" width="9.1796875" style="385" bestFit="1" outlineLevel="1"/>
    <col min="10" max="10" width="8.81640625" style="385" bestFit="1" customWidth="1" outlineLevel="1"/>
    <col min="11" max="11" width="9.1796875" style="385" bestFit="1" outlineLevel="1"/>
    <col min="12" max="12" width="9" style="385" bestFit="1" customWidth="1" outlineLevel="1"/>
    <col min="13" max="13" width="8.81640625" style="385" bestFit="1" customWidth="1" outlineLevel="1"/>
    <col min="14" max="14" width="9" style="385" bestFit="1" customWidth="1" outlineLevel="1"/>
    <col min="15" max="15" width="9.1796875" style="385" bestFit="1" outlineLevel="1"/>
    <col min="16" max="16" width="12.1796875" style="385" bestFit="1" customWidth="1"/>
    <col min="17" max="17" width="8.81640625" style="385" bestFit="1" customWidth="1"/>
    <col min="18" max="18" width="9.1796875" style="385"/>
    <col min="19" max="16384" width="9.1796875" style="369"/>
  </cols>
  <sheetData>
    <row r="1" spans="1:17" ht="13" x14ac:dyDescent="0.3">
      <c r="A1" s="368"/>
      <c r="B1" s="368"/>
      <c r="C1" s="368"/>
      <c r="D1" s="111" t="s">
        <v>296</v>
      </c>
      <c r="E1" s="111" t="s">
        <v>296</v>
      </c>
      <c r="F1" s="111" t="s">
        <v>296</v>
      </c>
      <c r="G1" s="111" t="s">
        <v>296</v>
      </c>
      <c r="H1" s="111" t="s">
        <v>296</v>
      </c>
      <c r="I1" s="111" t="s">
        <v>296</v>
      </c>
      <c r="J1" s="111" t="s">
        <v>296</v>
      </c>
      <c r="K1" s="111" t="s">
        <v>296</v>
      </c>
      <c r="L1" s="111" t="s">
        <v>296</v>
      </c>
      <c r="M1" s="111" t="s">
        <v>296</v>
      </c>
      <c r="N1" s="111" t="s">
        <v>296</v>
      </c>
      <c r="O1" s="111" t="s">
        <v>296</v>
      </c>
      <c r="P1" s="380" t="s">
        <v>298</v>
      </c>
      <c r="Q1" s="380"/>
    </row>
    <row r="2" spans="1:17" ht="13" x14ac:dyDescent="0.3">
      <c r="A2" s="208" t="s">
        <v>474</v>
      </c>
      <c r="B2" s="425" t="s">
        <v>475</v>
      </c>
      <c r="D2" s="112">
        <v>45688</v>
      </c>
      <c r="E2" s="112">
        <v>45716</v>
      </c>
      <c r="F2" s="112">
        <v>45747</v>
      </c>
      <c r="G2" s="112">
        <v>45777</v>
      </c>
      <c r="H2" s="112">
        <v>45808</v>
      </c>
      <c r="I2" s="112">
        <v>45838</v>
      </c>
      <c r="J2" s="112">
        <v>45869</v>
      </c>
      <c r="K2" s="112">
        <v>45900</v>
      </c>
      <c r="L2" s="112">
        <v>45930</v>
      </c>
      <c r="M2" s="112">
        <v>45961</v>
      </c>
      <c r="N2" s="112">
        <v>45991</v>
      </c>
      <c r="O2" s="112">
        <v>46022</v>
      </c>
      <c r="P2" s="9" t="s">
        <v>297</v>
      </c>
      <c r="Q2" s="9" t="s">
        <v>296</v>
      </c>
    </row>
    <row r="3" spans="1:17" ht="13" x14ac:dyDescent="0.3">
      <c r="B3" s="88"/>
      <c r="C3" s="89" t="s">
        <v>159</v>
      </c>
      <c r="D3" s="113" t="s">
        <v>299</v>
      </c>
      <c r="E3" s="113" t="s">
        <v>299</v>
      </c>
      <c r="F3" s="113" t="s">
        <v>299</v>
      </c>
      <c r="G3" s="113" t="s">
        <v>299</v>
      </c>
      <c r="H3" s="113" t="s">
        <v>299</v>
      </c>
      <c r="I3" s="113" t="s">
        <v>299</v>
      </c>
      <c r="J3" s="113" t="s">
        <v>299</v>
      </c>
      <c r="K3" s="113" t="s">
        <v>299</v>
      </c>
      <c r="L3" s="113" t="s">
        <v>299</v>
      </c>
      <c r="M3" s="113" t="s">
        <v>299</v>
      </c>
      <c r="N3" s="113" t="s">
        <v>299</v>
      </c>
      <c r="O3" s="113" t="s">
        <v>299</v>
      </c>
    </row>
    <row r="4" spans="1:17" x14ac:dyDescent="0.25">
      <c r="A4" s="92" t="s">
        <v>160</v>
      </c>
      <c r="B4" s="90" t="s">
        <v>160</v>
      </c>
      <c r="C4" s="91" t="s">
        <v>159</v>
      </c>
      <c r="D4" s="384">
        <v>-4772.9497000911642</v>
      </c>
      <c r="E4" s="384">
        <v>-9632.7439319588648</v>
      </c>
      <c r="F4" s="384">
        <v>-14579.382695603101</v>
      </c>
      <c r="G4" s="384">
        <v>-19590.643768801649</v>
      </c>
      <c r="H4" s="384">
        <v>-24688.749373776733</v>
      </c>
      <c r="I4" s="384">
        <v>-29873.699510528349</v>
      </c>
      <c r="J4" s="384">
        <v>-35145.494179056506</v>
      </c>
      <c r="K4" s="384">
        <v>-40504.133379361199</v>
      </c>
      <c r="L4" s="384">
        <v>-45949.617111442421</v>
      </c>
      <c r="M4" s="384">
        <v>-51481.94537530018</v>
      </c>
      <c r="N4" s="384">
        <v>-57101.118170934475</v>
      </c>
      <c r="O4" s="384">
        <v>-62807.135498345306</v>
      </c>
      <c r="P4" s="430">
        <f t="shared" ref="P4:P35" si="0">IF(Mese=1,Q4,Q4-CHOOSE(Mese-1,D4,E4,F4,G4,H4,I4,J4,K4,L4,M4,N4,O4))</f>
        <v>-4772.9497000911642</v>
      </c>
      <c r="Q4" s="384">
        <f>CHOOSE(Mese,D4,E4,F4,G4,H4,I4,J4,K4,L4,M4,N4,O4)</f>
        <v>-4772.9497000911642</v>
      </c>
    </row>
    <row r="5" spans="1:17" x14ac:dyDescent="0.25">
      <c r="A5" s="92"/>
      <c r="B5" s="370"/>
      <c r="C5" s="89" t="s">
        <v>161</v>
      </c>
      <c r="E5" s="427"/>
      <c r="P5" s="430">
        <f t="shared" si="0"/>
        <v>0</v>
      </c>
      <c r="Q5" s="384"/>
    </row>
    <row r="6" spans="1:17" x14ac:dyDescent="0.25">
      <c r="A6" s="92" t="s">
        <v>333</v>
      </c>
      <c r="B6" s="93" t="s">
        <v>372</v>
      </c>
      <c r="C6" s="94" t="s">
        <v>102</v>
      </c>
      <c r="D6" s="384">
        <v>889.32110592496008</v>
      </c>
      <c r="E6" s="384">
        <v>1816.2427520909307</v>
      </c>
      <c r="F6" s="384">
        <v>2727.1348592238719</v>
      </c>
      <c r="G6" s="384">
        <v>3729.3830068486081</v>
      </c>
      <c r="H6" s="384">
        <v>4746.2833815042131</v>
      </c>
      <c r="I6" s="384">
        <v>5612.7667970090952</v>
      </c>
      <c r="J6" s="384">
        <v>6452.635074295189</v>
      </c>
      <c r="K6" s="384">
        <v>7100.5135903849314</v>
      </c>
      <c r="L6" s="384">
        <v>8147.8199725566392</v>
      </c>
      <c r="M6" s="384">
        <v>9196.104206067268</v>
      </c>
      <c r="N6" s="384">
        <v>10243.501916097117</v>
      </c>
      <c r="O6" s="384">
        <v>11092.538556658059</v>
      </c>
      <c r="P6" s="430">
        <f t="shared" si="0"/>
        <v>889.32110592496008</v>
      </c>
      <c r="Q6" s="384">
        <f>CHOOSE(Mese,D6,E6,F6,G6,H6,I6,J6,K6,L6,M6,N6,O6)</f>
        <v>889.32110592496008</v>
      </c>
    </row>
    <row r="7" spans="1:17" x14ac:dyDescent="0.25">
      <c r="A7" s="92" t="s">
        <v>333</v>
      </c>
      <c r="B7" s="93" t="s">
        <v>379</v>
      </c>
      <c r="C7" s="94" t="s">
        <v>384</v>
      </c>
      <c r="D7" s="384">
        <v>52</v>
      </c>
      <c r="E7" s="384">
        <v>104</v>
      </c>
      <c r="F7" s="384">
        <v>156</v>
      </c>
      <c r="G7" s="384">
        <v>208</v>
      </c>
      <c r="H7" s="384">
        <v>260</v>
      </c>
      <c r="I7" s="384">
        <v>312</v>
      </c>
      <c r="J7" s="384">
        <v>364</v>
      </c>
      <c r="K7" s="384">
        <v>416</v>
      </c>
      <c r="L7" s="384">
        <v>468</v>
      </c>
      <c r="M7" s="384">
        <v>520</v>
      </c>
      <c r="N7" s="384">
        <v>572</v>
      </c>
      <c r="O7" s="384">
        <v>624</v>
      </c>
      <c r="P7" s="430">
        <f t="shared" si="0"/>
        <v>52</v>
      </c>
      <c r="Q7" s="384">
        <f>CHOOSE(Mese,D7,E7,F7,G7,H7,I7,J7,K7,L7,M7,N7,O7)</f>
        <v>52</v>
      </c>
    </row>
    <row r="8" spans="1:17" x14ac:dyDescent="0.25">
      <c r="A8" s="92" t="s">
        <v>333</v>
      </c>
      <c r="B8" s="93" t="s">
        <v>373</v>
      </c>
      <c r="C8" s="94" t="s">
        <v>103</v>
      </c>
      <c r="D8" s="384">
        <v>175.75760323282057</v>
      </c>
      <c r="E8" s="384">
        <v>350.78054832381656</v>
      </c>
      <c r="F8" s="384">
        <v>528.89021094847124</v>
      </c>
      <c r="G8" s="384">
        <v>707.63736706320265</v>
      </c>
      <c r="H8" s="384">
        <v>886.71627677536912</v>
      </c>
      <c r="I8" s="384">
        <v>1065.0221839995693</v>
      </c>
      <c r="J8" s="384">
        <v>1242.5825868480235</v>
      </c>
      <c r="K8" s="384">
        <v>1419.9829221643724</v>
      </c>
      <c r="L8" s="384">
        <v>1596.7149078951159</v>
      </c>
      <c r="M8" s="384">
        <v>1772.6801868980644</v>
      </c>
      <c r="N8" s="384">
        <v>1947.8787591732182</v>
      </c>
      <c r="O8" s="384">
        <v>2122.3106247205769</v>
      </c>
      <c r="P8" s="430">
        <f t="shared" si="0"/>
        <v>175.75760323282057</v>
      </c>
      <c r="Q8" s="384">
        <f>CHOOSE(Mese,D8,E8,F8,G8,H8,I8,J8,K8,L8,M8,N8,O8)</f>
        <v>175.75760323282057</v>
      </c>
    </row>
    <row r="9" spans="1:17" x14ac:dyDescent="0.25">
      <c r="A9" s="92" t="s">
        <v>162</v>
      </c>
      <c r="B9" s="93" t="s">
        <v>374</v>
      </c>
      <c r="C9" s="371" t="s">
        <v>385</v>
      </c>
      <c r="D9" s="384">
        <v>44.752410069448764</v>
      </c>
      <c r="E9" s="384">
        <v>89.061076971984306</v>
      </c>
      <c r="F9" s="384">
        <v>134.18647573563319</v>
      </c>
      <c r="G9" s="384">
        <v>179.81152481247551</v>
      </c>
      <c r="H9" s="384">
        <v>225.95209430410057</v>
      </c>
      <c r="I9" s="384">
        <v>271.88434341071616</v>
      </c>
      <c r="J9" s="384">
        <v>318.25477238584909</v>
      </c>
      <c r="K9" s="384">
        <v>364.35010811441293</v>
      </c>
      <c r="L9" s="384">
        <v>411.02080328960665</v>
      </c>
      <c r="M9" s="384">
        <v>457.4779781519394</v>
      </c>
      <c r="N9" s="384">
        <v>503.72400840314702</v>
      </c>
      <c r="O9" s="384">
        <v>549.75889404322947</v>
      </c>
      <c r="P9" s="430">
        <f t="shared" si="0"/>
        <v>44.752410069448764</v>
      </c>
      <c r="Q9" s="384">
        <f>CHOOSE(Mese,D9,E9,F9,G9,H9,I9,J9,K9,L9,M9,N9,O9)</f>
        <v>44.752410069448764</v>
      </c>
    </row>
    <row r="10" spans="1:17" x14ac:dyDescent="0.25">
      <c r="A10" s="92"/>
      <c r="B10" s="95"/>
      <c r="C10" s="96" t="s">
        <v>105</v>
      </c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430">
        <f t="shared" si="0"/>
        <v>0</v>
      </c>
      <c r="Q10" s="384"/>
    </row>
    <row r="11" spans="1:17" x14ac:dyDescent="0.25">
      <c r="A11" s="92" t="s">
        <v>334</v>
      </c>
      <c r="B11" s="93" t="s">
        <v>375</v>
      </c>
      <c r="C11" s="94" t="s">
        <v>106</v>
      </c>
      <c r="D11" s="384">
        <v>12.59166666666667</v>
      </c>
      <c r="E11" s="384">
        <v>25.183333333333341</v>
      </c>
      <c r="F11" s="384">
        <v>37.674999999999997</v>
      </c>
      <c r="G11" s="384">
        <v>64.945833333333354</v>
      </c>
      <c r="H11" s="384">
        <v>92.216666666666697</v>
      </c>
      <c r="I11" s="384">
        <v>119.78749999999999</v>
      </c>
      <c r="J11" s="384">
        <v>139.91833333333338</v>
      </c>
      <c r="K11" s="384">
        <v>160.04916666666671</v>
      </c>
      <c r="L11" s="384">
        <v>180.37</v>
      </c>
      <c r="M11" s="384">
        <v>208.98083333333338</v>
      </c>
      <c r="N11" s="384">
        <v>237.59166666666673</v>
      </c>
      <c r="O11" s="384">
        <v>266.11250000000001</v>
      </c>
      <c r="P11" s="430">
        <f t="shared" si="0"/>
        <v>12.59166666666667</v>
      </c>
      <c r="Q11" s="384">
        <f t="shared" ref="Q11:Q17" si="1">CHOOSE(Mese,D11,E11,F11,G11,H11,I11,J11,K11,L11,M11,N11,O11)</f>
        <v>12.59166666666667</v>
      </c>
    </row>
    <row r="12" spans="1:17" x14ac:dyDescent="0.25">
      <c r="A12" s="92" t="s">
        <v>334</v>
      </c>
      <c r="B12" s="93" t="s">
        <v>376</v>
      </c>
      <c r="C12" s="94" t="s">
        <v>107</v>
      </c>
      <c r="D12" s="384">
        <v>34.053299999999993</v>
      </c>
      <c r="E12" s="384">
        <v>70.188839999999999</v>
      </c>
      <c r="F12" s="384">
        <v>104.61086999999998</v>
      </c>
      <c r="G12" s="384">
        <v>142.87203</v>
      </c>
      <c r="H12" s="384">
        <v>180.98136</v>
      </c>
      <c r="I12" s="384">
        <v>211.47749999999999</v>
      </c>
      <c r="J12" s="384">
        <v>240.07214999999999</v>
      </c>
      <c r="K12" s="384">
        <v>259.68714</v>
      </c>
      <c r="L12" s="384">
        <v>297.64463999999998</v>
      </c>
      <c r="M12" s="384">
        <v>335.45031</v>
      </c>
      <c r="N12" s="384">
        <v>373.10415</v>
      </c>
      <c r="O12" s="384">
        <v>401.17101000000002</v>
      </c>
      <c r="P12" s="430">
        <f t="shared" si="0"/>
        <v>34.053299999999993</v>
      </c>
      <c r="Q12" s="384">
        <f t="shared" si="1"/>
        <v>34.053299999999993</v>
      </c>
    </row>
    <row r="13" spans="1:17" x14ac:dyDescent="0.25">
      <c r="A13" s="92" t="s">
        <v>334</v>
      </c>
      <c r="B13" s="93" t="s">
        <v>377</v>
      </c>
      <c r="C13" s="94" t="s">
        <v>108</v>
      </c>
      <c r="D13" s="384">
        <v>58.244451599999991</v>
      </c>
      <c r="E13" s="384">
        <v>125.50996400000001</v>
      </c>
      <c r="F13" s="384">
        <v>182.5044628</v>
      </c>
      <c r="G13" s="384">
        <v>239.4989616</v>
      </c>
      <c r="H13" s="384">
        <v>296.62919899999997</v>
      </c>
      <c r="I13" s="384">
        <v>353.75843639999994</v>
      </c>
      <c r="J13" s="384">
        <v>411.51947379999996</v>
      </c>
      <c r="K13" s="384">
        <v>469.84346699999998</v>
      </c>
      <c r="L13" s="384">
        <v>528.3491788</v>
      </c>
      <c r="M13" s="384">
        <v>586.95780200000002</v>
      </c>
      <c r="N13" s="384">
        <v>645.80420340000001</v>
      </c>
      <c r="O13" s="384">
        <v>704.80030840000006</v>
      </c>
      <c r="P13" s="430">
        <f t="shared" si="0"/>
        <v>58.244451599999991</v>
      </c>
      <c r="Q13" s="384">
        <f t="shared" si="1"/>
        <v>58.244451599999991</v>
      </c>
    </row>
    <row r="14" spans="1:17" x14ac:dyDescent="0.25">
      <c r="A14" s="92" t="s">
        <v>334</v>
      </c>
      <c r="B14" s="93" t="s">
        <v>378</v>
      </c>
      <c r="C14" s="94" t="s">
        <v>386</v>
      </c>
      <c r="D14" s="384">
        <v>17.416666666666664</v>
      </c>
      <c r="E14" s="384">
        <v>34.833333333333329</v>
      </c>
      <c r="F14" s="384">
        <v>52.25</v>
      </c>
      <c r="G14" s="384">
        <v>69.666666666666657</v>
      </c>
      <c r="H14" s="384">
        <v>87.083333333333314</v>
      </c>
      <c r="I14" s="384">
        <v>104.5</v>
      </c>
      <c r="J14" s="384">
        <v>121.91666666666663</v>
      </c>
      <c r="K14" s="384">
        <v>139.33333333333329</v>
      </c>
      <c r="L14" s="384">
        <v>156.75</v>
      </c>
      <c r="M14" s="384">
        <v>174.1666666666666</v>
      </c>
      <c r="N14" s="384">
        <v>191.58333333333326</v>
      </c>
      <c r="O14" s="384">
        <v>209</v>
      </c>
      <c r="P14" s="430">
        <f t="shared" si="0"/>
        <v>17.416666666666664</v>
      </c>
      <c r="Q14" s="384">
        <f t="shared" si="1"/>
        <v>17.416666666666664</v>
      </c>
    </row>
    <row r="15" spans="1:17" x14ac:dyDescent="0.25">
      <c r="A15" s="92" t="s">
        <v>334</v>
      </c>
      <c r="B15" s="93" t="s">
        <v>380</v>
      </c>
      <c r="C15" s="94" t="s">
        <v>109</v>
      </c>
      <c r="D15" s="384">
        <v>0</v>
      </c>
      <c r="E15" s="384">
        <v>0</v>
      </c>
      <c r="F15" s="384">
        <v>0</v>
      </c>
      <c r="G15" s="384">
        <v>0</v>
      </c>
      <c r="H15" s="384">
        <v>0</v>
      </c>
      <c r="I15" s="384">
        <v>0</v>
      </c>
      <c r="J15" s="384">
        <v>0</v>
      </c>
      <c r="K15" s="384">
        <v>0</v>
      </c>
      <c r="L15" s="384">
        <v>0</v>
      </c>
      <c r="M15" s="384">
        <v>0</v>
      </c>
      <c r="N15" s="384">
        <v>0</v>
      </c>
      <c r="O15" s="384">
        <v>0</v>
      </c>
      <c r="P15" s="430">
        <f t="shared" si="0"/>
        <v>0</v>
      </c>
      <c r="Q15" s="384">
        <f t="shared" si="1"/>
        <v>0</v>
      </c>
    </row>
    <row r="16" spans="1:17" x14ac:dyDescent="0.25">
      <c r="A16" s="92" t="s">
        <v>334</v>
      </c>
      <c r="B16" s="93" t="s">
        <v>163</v>
      </c>
      <c r="C16" s="94" t="s">
        <v>387</v>
      </c>
      <c r="D16" s="384">
        <v>23.624905965939863</v>
      </c>
      <c r="E16" s="384">
        <v>30.738477743638075</v>
      </c>
      <c r="F16" s="384">
        <v>37.842581144852979</v>
      </c>
      <c r="G16" s="384">
        <v>45.071416169584573</v>
      </c>
      <c r="H16" s="384">
        <v>52.228417006074515</v>
      </c>
      <c r="I16" s="384">
        <v>59.246483654322802</v>
      </c>
      <c r="J16" s="384">
        <v>66.326916114329435</v>
      </c>
      <c r="K16" s="384">
        <v>73.402614386094413</v>
      </c>
      <c r="L16" s="384">
        <v>80.540678469617745</v>
      </c>
      <c r="M16" s="384">
        <v>87.539808364899415</v>
      </c>
      <c r="N16" s="384">
        <v>94.534204071939442</v>
      </c>
      <c r="O16" s="384">
        <v>101.52386559073781</v>
      </c>
      <c r="P16" s="430">
        <f t="shared" si="0"/>
        <v>23.624905965939863</v>
      </c>
      <c r="Q16" s="384">
        <f t="shared" si="1"/>
        <v>23.624905965939863</v>
      </c>
    </row>
    <row r="17" spans="1:17" x14ac:dyDescent="0.25">
      <c r="A17" s="92" t="s">
        <v>334</v>
      </c>
      <c r="B17" s="93" t="s">
        <v>164</v>
      </c>
      <c r="C17" s="94" t="s">
        <v>388</v>
      </c>
      <c r="D17" s="384">
        <v>0</v>
      </c>
      <c r="E17" s="384">
        <v>0</v>
      </c>
      <c r="F17" s="384">
        <v>0</v>
      </c>
      <c r="G17" s="384">
        <v>0</v>
      </c>
      <c r="H17" s="384">
        <v>0</v>
      </c>
      <c r="I17" s="384">
        <v>0</v>
      </c>
      <c r="J17" s="384">
        <v>0</v>
      </c>
      <c r="K17" s="384">
        <v>0</v>
      </c>
      <c r="L17" s="384">
        <v>0</v>
      </c>
      <c r="M17" s="384">
        <v>0</v>
      </c>
      <c r="N17" s="384">
        <v>0</v>
      </c>
      <c r="O17" s="384">
        <v>0</v>
      </c>
      <c r="P17" s="430">
        <f t="shared" si="0"/>
        <v>0</v>
      </c>
      <c r="Q17" s="384">
        <f t="shared" si="1"/>
        <v>0</v>
      </c>
    </row>
    <row r="18" spans="1:17" x14ac:dyDescent="0.25">
      <c r="A18" s="92"/>
      <c r="B18" s="97"/>
      <c r="C18" s="96" t="s">
        <v>113</v>
      </c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430">
        <f t="shared" si="0"/>
        <v>0</v>
      </c>
      <c r="Q18" s="384"/>
    </row>
    <row r="19" spans="1:17" x14ac:dyDescent="0.25">
      <c r="A19" s="92" t="s">
        <v>335</v>
      </c>
      <c r="B19" s="93" t="s">
        <v>165</v>
      </c>
      <c r="C19" s="94" t="s">
        <v>114</v>
      </c>
      <c r="D19" s="384">
        <v>12.194768333333334</v>
      </c>
      <c r="E19" s="384">
        <v>30.850850000000001</v>
      </c>
      <c r="F19" s="384">
        <v>45.128951666666666</v>
      </c>
      <c r="G19" s="384">
        <v>71.015618333333336</v>
      </c>
      <c r="H19" s="384">
        <v>81.902285000000006</v>
      </c>
      <c r="I19" s="384">
        <v>96.788951666666676</v>
      </c>
      <c r="J19" s="384">
        <v>113.67561833333335</v>
      </c>
      <c r="K19" s="384">
        <v>124.56228500000002</v>
      </c>
      <c r="L19" s="384">
        <v>135.44895166666669</v>
      </c>
      <c r="M19" s="384">
        <v>151.03561833333336</v>
      </c>
      <c r="N19" s="384">
        <v>171.92228500000004</v>
      </c>
      <c r="O19" s="384">
        <v>182.8089516666667</v>
      </c>
      <c r="P19" s="430">
        <f t="shared" si="0"/>
        <v>12.194768333333334</v>
      </c>
      <c r="Q19" s="384">
        <f t="shared" ref="Q19:Q24" si="2">CHOOSE(Mese,D19,E19,F19,G19,H19,I19,J19,K19,L19,M19,N19,O19)</f>
        <v>12.194768333333334</v>
      </c>
    </row>
    <row r="20" spans="1:17" x14ac:dyDescent="0.25">
      <c r="A20" s="92" t="s">
        <v>335</v>
      </c>
      <c r="B20" s="93" t="s">
        <v>166</v>
      </c>
      <c r="C20" s="94" t="s">
        <v>115</v>
      </c>
      <c r="D20" s="384">
        <v>4.7133333333333329</v>
      </c>
      <c r="E20" s="384">
        <v>9.4266666666666659</v>
      </c>
      <c r="F20" s="384">
        <v>14.14</v>
      </c>
      <c r="G20" s="384">
        <v>42.542222222222215</v>
      </c>
      <c r="H20" s="384">
        <v>70.944444444444429</v>
      </c>
      <c r="I20" s="384">
        <v>99.34666666666665</v>
      </c>
      <c r="J20" s="384">
        <v>127.74888888888887</v>
      </c>
      <c r="K20" s="384">
        <v>154.12888888888887</v>
      </c>
      <c r="L20" s="384">
        <v>180.50888888888886</v>
      </c>
      <c r="M20" s="384">
        <v>206.88888888888886</v>
      </c>
      <c r="N20" s="384">
        <v>233.26888888888885</v>
      </c>
      <c r="O20" s="384">
        <v>259.64888888888885</v>
      </c>
      <c r="P20" s="430">
        <f t="shared" si="0"/>
        <v>4.7133333333333329</v>
      </c>
      <c r="Q20" s="384">
        <f t="shared" si="2"/>
        <v>4.7133333333333329</v>
      </c>
    </row>
    <row r="21" spans="1:17" x14ac:dyDescent="0.25">
      <c r="A21" s="92" t="s">
        <v>335</v>
      </c>
      <c r="B21" s="93" t="s">
        <v>167</v>
      </c>
      <c r="C21" s="94" t="s">
        <v>116</v>
      </c>
      <c r="D21" s="384">
        <v>0</v>
      </c>
      <c r="E21" s="384">
        <v>0</v>
      </c>
      <c r="F21" s="384">
        <v>0</v>
      </c>
      <c r="G21" s="384">
        <v>0</v>
      </c>
      <c r="H21" s="384">
        <v>0</v>
      </c>
      <c r="I21" s="384">
        <v>0</v>
      </c>
      <c r="J21" s="384">
        <v>0</v>
      </c>
      <c r="K21" s="384">
        <v>0</v>
      </c>
      <c r="L21" s="384">
        <v>0</v>
      </c>
      <c r="M21" s="384">
        <v>0</v>
      </c>
      <c r="N21" s="384">
        <v>0</v>
      </c>
      <c r="O21" s="384">
        <v>0</v>
      </c>
      <c r="P21" s="430">
        <f t="shared" si="0"/>
        <v>0</v>
      </c>
      <c r="Q21" s="384">
        <f t="shared" si="2"/>
        <v>0</v>
      </c>
    </row>
    <row r="22" spans="1:17" x14ac:dyDescent="0.25">
      <c r="A22" s="92" t="s">
        <v>335</v>
      </c>
      <c r="B22" s="93" t="s">
        <v>168</v>
      </c>
      <c r="C22" s="94" t="s">
        <v>117</v>
      </c>
      <c r="D22" s="384">
        <v>1.6666666666666667</v>
      </c>
      <c r="E22" s="384">
        <v>3.3333333333333335</v>
      </c>
      <c r="F22" s="384">
        <v>5</v>
      </c>
      <c r="G22" s="384">
        <v>6.666666666666667</v>
      </c>
      <c r="H22" s="384">
        <v>8.3333333333333339</v>
      </c>
      <c r="I22" s="384">
        <v>10</v>
      </c>
      <c r="J22" s="384">
        <v>11.666666666666666</v>
      </c>
      <c r="K22" s="384">
        <v>13.333333333333332</v>
      </c>
      <c r="L22" s="384">
        <v>15</v>
      </c>
      <c r="M22" s="384">
        <v>16.666666666666664</v>
      </c>
      <c r="N22" s="384">
        <v>18.333333333333332</v>
      </c>
      <c r="O22" s="384">
        <v>20</v>
      </c>
      <c r="P22" s="430">
        <f t="shared" si="0"/>
        <v>1.6666666666666667</v>
      </c>
      <c r="Q22" s="384">
        <f t="shared" si="2"/>
        <v>1.6666666666666667</v>
      </c>
    </row>
    <row r="23" spans="1:17" x14ac:dyDescent="0.25">
      <c r="A23" s="92" t="s">
        <v>335</v>
      </c>
      <c r="B23" s="93" t="s">
        <v>169</v>
      </c>
      <c r="C23" s="94" t="s">
        <v>118</v>
      </c>
      <c r="D23" s="384">
        <v>0</v>
      </c>
      <c r="E23" s="384">
        <v>0</v>
      </c>
      <c r="F23" s="384">
        <v>0</v>
      </c>
      <c r="G23" s="384">
        <v>0</v>
      </c>
      <c r="H23" s="384">
        <v>0</v>
      </c>
      <c r="I23" s="384">
        <v>0</v>
      </c>
      <c r="J23" s="384">
        <v>0</v>
      </c>
      <c r="K23" s="384">
        <v>0</v>
      </c>
      <c r="L23" s="384">
        <v>0</v>
      </c>
      <c r="M23" s="384">
        <v>0</v>
      </c>
      <c r="N23" s="384">
        <v>0</v>
      </c>
      <c r="O23" s="384">
        <v>0</v>
      </c>
      <c r="P23" s="430">
        <f t="shared" si="0"/>
        <v>0</v>
      </c>
      <c r="Q23" s="384">
        <f t="shared" si="2"/>
        <v>0</v>
      </c>
    </row>
    <row r="24" spans="1:17" x14ac:dyDescent="0.25">
      <c r="A24" s="92" t="s">
        <v>335</v>
      </c>
      <c r="B24" s="93" t="s">
        <v>170</v>
      </c>
      <c r="C24" s="94" t="s">
        <v>119</v>
      </c>
      <c r="D24" s="384">
        <v>0</v>
      </c>
      <c r="E24" s="384">
        <v>0</v>
      </c>
      <c r="F24" s="384">
        <v>0</v>
      </c>
      <c r="G24" s="384">
        <v>0</v>
      </c>
      <c r="H24" s="384">
        <v>0</v>
      </c>
      <c r="I24" s="384">
        <v>0</v>
      </c>
      <c r="J24" s="384">
        <v>0</v>
      </c>
      <c r="K24" s="384">
        <v>0</v>
      </c>
      <c r="L24" s="384">
        <v>0</v>
      </c>
      <c r="M24" s="384">
        <v>0</v>
      </c>
      <c r="N24" s="384">
        <v>0</v>
      </c>
      <c r="O24" s="384">
        <v>0</v>
      </c>
      <c r="P24" s="430">
        <f t="shared" si="0"/>
        <v>0</v>
      </c>
      <c r="Q24" s="384">
        <f t="shared" si="2"/>
        <v>0</v>
      </c>
    </row>
    <row r="25" spans="1:17" x14ac:dyDescent="0.25">
      <c r="A25" s="92"/>
      <c r="B25" s="93"/>
      <c r="C25" s="96" t="s">
        <v>121</v>
      </c>
      <c r="D25" s="384"/>
      <c r="E25" s="384"/>
      <c r="F25" s="384"/>
      <c r="G25" s="384"/>
      <c r="H25" s="384"/>
      <c r="I25" s="384"/>
      <c r="J25" s="384"/>
      <c r="K25" s="384"/>
      <c r="L25" s="384"/>
      <c r="M25" s="384"/>
      <c r="N25" s="384"/>
      <c r="O25" s="384"/>
      <c r="P25" s="430">
        <f t="shared" si="0"/>
        <v>0</v>
      </c>
      <c r="Q25" s="384"/>
    </row>
    <row r="26" spans="1:17" x14ac:dyDescent="0.25">
      <c r="A26" s="92" t="s">
        <v>336</v>
      </c>
      <c r="B26" s="93" t="s">
        <v>171</v>
      </c>
      <c r="C26" s="94" t="s">
        <v>389</v>
      </c>
      <c r="D26" s="384">
        <v>-11.922466951062265</v>
      </c>
      <c r="E26" s="384">
        <v>-14.844933902124531</v>
      </c>
      <c r="F26" s="384">
        <v>-24.467400853186795</v>
      </c>
      <c r="G26" s="384">
        <v>0.57679886241760414</v>
      </c>
      <c r="H26" s="384">
        <v>34.620998578022011</v>
      </c>
      <c r="I26" s="384">
        <v>63.506864960293079</v>
      </c>
      <c r="J26" s="384">
        <v>62.359398009230816</v>
      </c>
      <c r="K26" s="384">
        <v>64.211931058168545</v>
      </c>
      <c r="L26" s="384">
        <v>66.464464107106281</v>
      </c>
      <c r="M26" s="384">
        <v>72.916997156044019</v>
      </c>
      <c r="N26" s="384">
        <v>84.369530204981757</v>
      </c>
      <c r="O26" s="384">
        <v>94.42206325391949</v>
      </c>
      <c r="P26" s="430">
        <f t="shared" si="0"/>
        <v>-11.922466951062265</v>
      </c>
      <c r="Q26" s="384">
        <f>CHOOSE(Mese,D26,E26,F26,G26,H26,I26,J26,K26,L26,M26,N26,O26)</f>
        <v>-11.922466951062265</v>
      </c>
    </row>
    <row r="27" spans="1:17" x14ac:dyDescent="0.25">
      <c r="A27" s="92" t="s">
        <v>336</v>
      </c>
      <c r="B27" s="93" t="s">
        <v>172</v>
      </c>
      <c r="C27" s="94" t="s">
        <v>122</v>
      </c>
      <c r="D27" s="384">
        <v>2.916666666666667</v>
      </c>
      <c r="E27" s="384">
        <v>10.833333333333334</v>
      </c>
      <c r="F27" s="384">
        <v>13.75</v>
      </c>
      <c r="G27" s="384">
        <v>16.666666666666668</v>
      </c>
      <c r="H27" s="384">
        <v>19.583333333333336</v>
      </c>
      <c r="I27" s="384">
        <v>27.5</v>
      </c>
      <c r="J27" s="384">
        <v>30.416666666666671</v>
      </c>
      <c r="K27" s="384">
        <v>33.333333333333336</v>
      </c>
      <c r="L27" s="384">
        <v>36.25</v>
      </c>
      <c r="M27" s="384">
        <v>39.166666666666664</v>
      </c>
      <c r="N27" s="384">
        <v>47.083333333333329</v>
      </c>
      <c r="O27" s="384">
        <v>50</v>
      </c>
      <c r="P27" s="430">
        <f t="shared" si="0"/>
        <v>2.916666666666667</v>
      </c>
      <c r="Q27" s="384">
        <f>CHOOSE(Mese,D27,E27,F27,G27,H27,I27,J27,K27,L27,M27,N27,O27)</f>
        <v>2.916666666666667</v>
      </c>
    </row>
    <row r="28" spans="1:17" x14ac:dyDescent="0.25">
      <c r="A28" s="92" t="s">
        <v>336</v>
      </c>
      <c r="B28" s="93" t="s">
        <v>173</v>
      </c>
      <c r="C28" s="94" t="s">
        <v>123</v>
      </c>
      <c r="D28" s="384">
        <v>6.0833333333333339</v>
      </c>
      <c r="E28" s="384">
        <v>24.666666666666671</v>
      </c>
      <c r="F28" s="384">
        <v>30.75</v>
      </c>
      <c r="G28" s="384">
        <v>36.833333333333343</v>
      </c>
      <c r="H28" s="384">
        <v>42.916666666666679</v>
      </c>
      <c r="I28" s="384">
        <v>49</v>
      </c>
      <c r="J28" s="384">
        <v>55.08333333333335</v>
      </c>
      <c r="K28" s="384">
        <v>61.166666666666686</v>
      </c>
      <c r="L28" s="384">
        <v>67.25</v>
      </c>
      <c r="M28" s="384">
        <v>73.333333333333343</v>
      </c>
      <c r="N28" s="384">
        <v>79.416666666666671</v>
      </c>
      <c r="O28" s="384">
        <v>85.5</v>
      </c>
      <c r="P28" s="430">
        <f t="shared" si="0"/>
        <v>6.0833333333333339</v>
      </c>
      <c r="Q28" s="384">
        <f>CHOOSE(Mese,D28,E28,F28,G28,H28,I28,J28,K28,L28,M28,N28,O28)</f>
        <v>6.0833333333333339</v>
      </c>
    </row>
    <row r="29" spans="1:17" x14ac:dyDescent="0.25">
      <c r="A29" s="92"/>
      <c r="B29" s="93"/>
      <c r="C29" s="96" t="s">
        <v>125</v>
      </c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4"/>
      <c r="P29" s="430">
        <f t="shared" si="0"/>
        <v>0</v>
      </c>
      <c r="Q29" s="384"/>
    </row>
    <row r="30" spans="1:17" x14ac:dyDescent="0.25">
      <c r="A30" s="92" t="s">
        <v>31</v>
      </c>
      <c r="B30" s="93" t="s">
        <v>174</v>
      </c>
      <c r="C30" s="94" t="s">
        <v>126</v>
      </c>
      <c r="D30" s="384">
        <v>41.791666666666671</v>
      </c>
      <c r="E30" s="384">
        <v>83.583333333333343</v>
      </c>
      <c r="F30" s="384">
        <v>130.25</v>
      </c>
      <c r="G30" s="384">
        <v>172.41666666666669</v>
      </c>
      <c r="H30" s="384">
        <v>215.89333333333335</v>
      </c>
      <c r="I30" s="384">
        <v>262.62</v>
      </c>
      <c r="J30" s="384">
        <v>304.84666666666669</v>
      </c>
      <c r="K30" s="384">
        <v>347.07333333333338</v>
      </c>
      <c r="L30" s="384">
        <v>393.8</v>
      </c>
      <c r="M30" s="384">
        <v>436.02666666666676</v>
      </c>
      <c r="N30" s="384">
        <v>479.50333333333344</v>
      </c>
      <c r="O30" s="384">
        <v>526.23</v>
      </c>
      <c r="P30" s="430">
        <f t="shared" si="0"/>
        <v>41.791666666666671</v>
      </c>
      <c r="Q30" s="384">
        <f>CHOOSE(Mese,D30,E30,F30,G30,H30,I30,J30,K30,L30,M30,N30,O30)</f>
        <v>41.791666666666671</v>
      </c>
    </row>
    <row r="31" spans="1:17" x14ac:dyDescent="0.25">
      <c r="A31" s="92" t="s">
        <v>31</v>
      </c>
      <c r="B31" s="93" t="s">
        <v>175</v>
      </c>
      <c r="C31" s="94" t="s">
        <v>176</v>
      </c>
      <c r="D31" s="384">
        <v>1.5</v>
      </c>
      <c r="E31" s="384">
        <v>3</v>
      </c>
      <c r="F31" s="384">
        <v>4.5</v>
      </c>
      <c r="G31" s="384">
        <v>6</v>
      </c>
      <c r="H31" s="384">
        <v>7.5</v>
      </c>
      <c r="I31" s="384">
        <v>9</v>
      </c>
      <c r="J31" s="384">
        <v>10.5</v>
      </c>
      <c r="K31" s="384">
        <v>12</v>
      </c>
      <c r="L31" s="384">
        <v>13.5</v>
      </c>
      <c r="M31" s="384">
        <v>15</v>
      </c>
      <c r="N31" s="384">
        <v>16.5</v>
      </c>
      <c r="O31" s="384">
        <v>18</v>
      </c>
      <c r="P31" s="430">
        <f t="shared" si="0"/>
        <v>1.5</v>
      </c>
      <c r="Q31" s="384">
        <f>CHOOSE(Mese,D31,E31,F31,G31,H31,I31,J31,K31,L31,M31,N31,O31)</f>
        <v>1.5</v>
      </c>
    </row>
    <row r="32" spans="1:17" x14ac:dyDescent="0.25">
      <c r="A32" s="92"/>
      <c r="B32" s="93"/>
      <c r="C32" s="98" t="s">
        <v>390</v>
      </c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430">
        <f t="shared" si="0"/>
        <v>0</v>
      </c>
      <c r="Q32" s="384"/>
    </row>
    <row r="33" spans="1:17" x14ac:dyDescent="0.25">
      <c r="A33" s="92" t="s">
        <v>31</v>
      </c>
      <c r="B33" s="93" t="s">
        <v>177</v>
      </c>
      <c r="C33" s="94" t="s">
        <v>129</v>
      </c>
      <c r="D33" s="384">
        <v>45.008935593807799</v>
      </c>
      <c r="E33" s="384">
        <v>90.017871187615597</v>
      </c>
      <c r="F33" s="384">
        <v>135.0268067814234</v>
      </c>
      <c r="G33" s="384">
        <v>180.03574237523119</v>
      </c>
      <c r="H33" s="384">
        <v>223.30578908015011</v>
      </c>
      <c r="I33" s="384">
        <v>266.57583578506899</v>
      </c>
      <c r="J33" s="384">
        <v>309.8458824899879</v>
      </c>
      <c r="K33" s="384">
        <v>353.11592919490681</v>
      </c>
      <c r="L33" s="384">
        <v>396.38597589982572</v>
      </c>
      <c r="M33" s="384">
        <v>439.65602260474463</v>
      </c>
      <c r="N33" s="384">
        <v>482.92606930966355</v>
      </c>
      <c r="O33" s="384">
        <v>526.19611601458246</v>
      </c>
      <c r="P33" s="430">
        <f t="shared" si="0"/>
        <v>45.008935593807799</v>
      </c>
      <c r="Q33" s="384">
        <f>CHOOSE(Mese,D33,E33,F33,G33,H33,I33,J33,K33,L33,M33,N33,O33)</f>
        <v>45.008935593807799</v>
      </c>
    </row>
    <row r="34" spans="1:17" x14ac:dyDescent="0.25">
      <c r="A34" s="92" t="s">
        <v>31</v>
      </c>
      <c r="B34" s="93" t="s">
        <v>180</v>
      </c>
      <c r="C34" s="94" t="s">
        <v>391</v>
      </c>
      <c r="D34" s="384">
        <v>19.833333333333332</v>
      </c>
      <c r="E34" s="384">
        <v>39.666666666666664</v>
      </c>
      <c r="F34" s="384">
        <v>59.5</v>
      </c>
      <c r="G34" s="384">
        <v>79.333333333333329</v>
      </c>
      <c r="H34" s="384">
        <v>99.166666666666657</v>
      </c>
      <c r="I34" s="384">
        <v>119</v>
      </c>
      <c r="J34" s="384">
        <v>138.83333333333331</v>
      </c>
      <c r="K34" s="384">
        <v>158.66666666666666</v>
      </c>
      <c r="L34" s="384">
        <v>178.5</v>
      </c>
      <c r="M34" s="384">
        <v>198.33333333333334</v>
      </c>
      <c r="N34" s="384">
        <v>218.16666666666669</v>
      </c>
      <c r="O34" s="384">
        <v>238</v>
      </c>
      <c r="P34" s="430">
        <f t="shared" si="0"/>
        <v>19.833333333333332</v>
      </c>
      <c r="Q34" s="384">
        <f>CHOOSE(Mese,D34,E34,F34,G34,H34,I34,J34,K34,L34,M34,N34,O34)</f>
        <v>19.833333333333332</v>
      </c>
    </row>
    <row r="35" spans="1:17" x14ac:dyDescent="0.25">
      <c r="A35" s="92"/>
      <c r="B35" s="93"/>
      <c r="C35" s="99" t="s">
        <v>392</v>
      </c>
      <c r="D35" s="384"/>
      <c r="E35" s="384"/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430">
        <f t="shared" si="0"/>
        <v>0</v>
      </c>
      <c r="Q35" s="384"/>
    </row>
    <row r="36" spans="1:17" x14ac:dyDescent="0.25">
      <c r="A36" s="92" t="s">
        <v>31</v>
      </c>
      <c r="B36" s="93" t="s">
        <v>178</v>
      </c>
      <c r="C36" s="94" t="s">
        <v>393</v>
      </c>
      <c r="D36" s="384">
        <v>6.0833333333333339</v>
      </c>
      <c r="E36" s="384">
        <v>12.166666666666668</v>
      </c>
      <c r="F36" s="384">
        <v>23.25</v>
      </c>
      <c r="G36" s="384">
        <v>29.333333333333336</v>
      </c>
      <c r="H36" s="384">
        <v>35.416666666666671</v>
      </c>
      <c r="I36" s="384">
        <v>56.5</v>
      </c>
      <c r="J36" s="384">
        <v>62.583333333333343</v>
      </c>
      <c r="K36" s="384">
        <v>68.666666666666671</v>
      </c>
      <c r="L36" s="384">
        <v>74.75</v>
      </c>
      <c r="M36" s="384">
        <v>80.833333333333329</v>
      </c>
      <c r="N36" s="384">
        <v>86.916666666666657</v>
      </c>
      <c r="O36" s="384">
        <v>93</v>
      </c>
      <c r="P36" s="430">
        <f t="shared" ref="P36:P67" si="3">IF(Mese=1,Q36,Q36-CHOOSE(Mese-1,D36,E36,F36,G36,H36,I36,J36,K36,L36,M36,N36,O36))</f>
        <v>6.0833333333333339</v>
      </c>
      <c r="Q36" s="384">
        <f>CHOOSE(Mese,D36,E36,F36,G36,H36,I36,J36,K36,L36,M36,N36,O36)</f>
        <v>6.0833333333333339</v>
      </c>
    </row>
    <row r="37" spans="1:17" x14ac:dyDescent="0.25">
      <c r="A37" s="92" t="s">
        <v>31</v>
      </c>
      <c r="B37" s="93" t="s">
        <v>179</v>
      </c>
      <c r="C37" s="94" t="s">
        <v>130</v>
      </c>
      <c r="D37" s="384">
        <v>4.166666666666667</v>
      </c>
      <c r="E37" s="384">
        <v>8.3333333333333339</v>
      </c>
      <c r="F37" s="384">
        <v>12.5</v>
      </c>
      <c r="G37" s="384">
        <v>16.666666666666668</v>
      </c>
      <c r="H37" s="384">
        <v>20.833333333333336</v>
      </c>
      <c r="I37" s="384">
        <v>25</v>
      </c>
      <c r="J37" s="384">
        <v>29.166666666666671</v>
      </c>
      <c r="K37" s="384">
        <v>33.333333333333336</v>
      </c>
      <c r="L37" s="384">
        <v>37.5</v>
      </c>
      <c r="M37" s="384">
        <v>41.666666666666664</v>
      </c>
      <c r="N37" s="384">
        <v>45.833333333333329</v>
      </c>
      <c r="O37" s="384">
        <v>50</v>
      </c>
      <c r="P37" s="430">
        <f t="shared" si="3"/>
        <v>4.166666666666667</v>
      </c>
      <c r="Q37" s="384">
        <f>CHOOSE(Mese,D37,E37,F37,G37,H37,I37,J37,K37,L37,M37,N37,O37)</f>
        <v>4.166666666666667</v>
      </c>
    </row>
    <row r="38" spans="1:17" x14ac:dyDescent="0.25">
      <c r="A38" s="92" t="s">
        <v>31</v>
      </c>
      <c r="B38" s="93" t="s">
        <v>181</v>
      </c>
      <c r="C38" s="94" t="s">
        <v>131</v>
      </c>
      <c r="D38" s="384">
        <v>19.1401</v>
      </c>
      <c r="E38" s="384">
        <v>38.280200000000001</v>
      </c>
      <c r="F38" s="384">
        <v>57.434678333333338</v>
      </c>
      <c r="G38" s="384">
        <v>76.589156666666668</v>
      </c>
      <c r="H38" s="384">
        <v>95.743634999999998</v>
      </c>
      <c r="I38" s="384">
        <v>114.89811333333333</v>
      </c>
      <c r="J38" s="384">
        <v>134.09533733333333</v>
      </c>
      <c r="K38" s="384">
        <v>153.29256133333334</v>
      </c>
      <c r="L38" s="384">
        <v>172.48978533333334</v>
      </c>
      <c r="M38" s="384">
        <v>191.68700933333335</v>
      </c>
      <c r="N38" s="384">
        <v>210.88423333333336</v>
      </c>
      <c r="O38" s="384">
        <v>230.16547400000002</v>
      </c>
      <c r="P38" s="430">
        <f t="shared" si="3"/>
        <v>19.1401</v>
      </c>
      <c r="Q38" s="384">
        <f>CHOOSE(Mese,D38,E38,F38,G38,H38,I38,J38,K38,L38,M38,N38,O38)</f>
        <v>19.1401</v>
      </c>
    </row>
    <row r="39" spans="1:17" x14ac:dyDescent="0.25">
      <c r="A39" s="92"/>
      <c r="B39" s="93"/>
      <c r="C39" s="99" t="s">
        <v>132</v>
      </c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430">
        <f t="shared" si="3"/>
        <v>0</v>
      </c>
      <c r="Q39" s="384"/>
    </row>
    <row r="40" spans="1:17" x14ac:dyDescent="0.25">
      <c r="A40" s="92" t="s">
        <v>31</v>
      </c>
      <c r="B40" s="93" t="s">
        <v>182</v>
      </c>
      <c r="C40" s="94" t="s">
        <v>394</v>
      </c>
      <c r="D40" s="384">
        <v>0.95</v>
      </c>
      <c r="E40" s="384">
        <v>3.9</v>
      </c>
      <c r="F40" s="384">
        <v>4.8499999999999996</v>
      </c>
      <c r="G40" s="384">
        <v>5.8</v>
      </c>
      <c r="H40" s="384">
        <v>6.75</v>
      </c>
      <c r="I40" s="384">
        <v>9.6999999999999993</v>
      </c>
      <c r="J40" s="384">
        <v>10.65</v>
      </c>
      <c r="K40" s="384">
        <v>11.6</v>
      </c>
      <c r="L40" s="384">
        <v>12.55</v>
      </c>
      <c r="M40" s="384">
        <v>13.5</v>
      </c>
      <c r="N40" s="384">
        <v>14.45</v>
      </c>
      <c r="O40" s="384">
        <v>15.4</v>
      </c>
      <c r="P40" s="430">
        <f t="shared" si="3"/>
        <v>0.95</v>
      </c>
      <c r="Q40" s="384">
        <f>CHOOSE(Mese,D40,E40,F40,G40,H40,I40,J40,K40,L40,M40,N40,O40)</f>
        <v>0.95</v>
      </c>
    </row>
    <row r="41" spans="1:17" x14ac:dyDescent="0.25">
      <c r="A41" s="92" t="s">
        <v>31</v>
      </c>
      <c r="B41" s="93" t="s">
        <v>183</v>
      </c>
      <c r="C41" s="94" t="s">
        <v>133</v>
      </c>
      <c r="D41" s="384">
        <v>3.0135708333333335</v>
      </c>
      <c r="E41" s="384">
        <v>6.0612616666666668</v>
      </c>
      <c r="F41" s="384">
        <v>9.1089525000000009</v>
      </c>
      <c r="G41" s="384">
        <v>12.156643333333335</v>
      </c>
      <c r="H41" s="384">
        <v>15.204334166666669</v>
      </c>
      <c r="I41" s="384">
        <v>18.25300416666667</v>
      </c>
      <c r="J41" s="384">
        <v>21.301674166666672</v>
      </c>
      <c r="K41" s="384">
        <v>24.350344166666673</v>
      </c>
      <c r="L41" s="384">
        <v>27.399014166666674</v>
      </c>
      <c r="M41" s="384">
        <v>30.466014166666675</v>
      </c>
      <c r="N41" s="384">
        <v>33.533014166666675</v>
      </c>
      <c r="O41" s="384">
        <v>36.600014166666675</v>
      </c>
      <c r="P41" s="430">
        <f t="shared" si="3"/>
        <v>3.0135708333333335</v>
      </c>
      <c r="Q41" s="384">
        <f>CHOOSE(Mese,D41,E41,F41,G41,H41,I41,J41,K41,L41,M41,N41,O41)</f>
        <v>3.0135708333333335</v>
      </c>
    </row>
    <row r="42" spans="1:17" x14ac:dyDescent="0.25">
      <c r="A42" s="92" t="s">
        <v>31</v>
      </c>
      <c r="B42" s="93" t="s">
        <v>184</v>
      </c>
      <c r="C42" s="94" t="s">
        <v>134</v>
      </c>
      <c r="D42" s="384">
        <v>24.472256666666667</v>
      </c>
      <c r="E42" s="384">
        <v>48.943513333333335</v>
      </c>
      <c r="F42" s="384">
        <v>71.614769999999993</v>
      </c>
      <c r="G42" s="384">
        <v>95.36108999999999</v>
      </c>
      <c r="H42" s="384">
        <v>118.85740999999999</v>
      </c>
      <c r="I42" s="384">
        <v>141.55372999999997</v>
      </c>
      <c r="J42" s="384">
        <v>164.25004999999999</v>
      </c>
      <c r="K42" s="384">
        <v>186.84636999999998</v>
      </c>
      <c r="L42" s="384">
        <v>209.39268999999999</v>
      </c>
      <c r="M42" s="384">
        <v>233.38900999999998</v>
      </c>
      <c r="N42" s="384">
        <v>256.75972999999999</v>
      </c>
      <c r="O42" s="384">
        <v>281.97944166666667</v>
      </c>
      <c r="P42" s="430">
        <f t="shared" si="3"/>
        <v>24.472256666666667</v>
      </c>
      <c r="Q42" s="384">
        <f>CHOOSE(Mese,D42,E42,F42,G42,H42,I42,J42,K42,L42,M42,N42,O42)</f>
        <v>24.472256666666667</v>
      </c>
    </row>
    <row r="43" spans="1:17" x14ac:dyDescent="0.25">
      <c r="A43" s="92" t="s">
        <v>31</v>
      </c>
      <c r="B43" s="93" t="s">
        <v>185</v>
      </c>
      <c r="C43" s="94" t="s">
        <v>395</v>
      </c>
      <c r="D43" s="384">
        <v>5.2916666666666661</v>
      </c>
      <c r="E43" s="384">
        <v>10.583333333333332</v>
      </c>
      <c r="F43" s="384">
        <v>15.875</v>
      </c>
      <c r="G43" s="384">
        <v>21.307866666666666</v>
      </c>
      <c r="H43" s="384">
        <v>26.599533333333333</v>
      </c>
      <c r="I43" s="384">
        <v>31.891199999999998</v>
      </c>
      <c r="J43" s="384">
        <v>37.182866666666662</v>
      </c>
      <c r="K43" s="384">
        <v>42.474533333333326</v>
      </c>
      <c r="L43" s="384">
        <v>48.740885348634222</v>
      </c>
      <c r="M43" s="384">
        <v>54.032552015300887</v>
      </c>
      <c r="N43" s="384">
        <v>60.298904030601783</v>
      </c>
      <c r="O43" s="384">
        <v>65.590570697268447</v>
      </c>
      <c r="P43" s="430">
        <f t="shared" si="3"/>
        <v>5.2916666666666661</v>
      </c>
      <c r="Q43" s="384">
        <f>CHOOSE(Mese,D43,E43,F43,G43,H43,I43,J43,K43,L43,M43,N43,O43)</f>
        <v>5.2916666666666661</v>
      </c>
    </row>
    <row r="44" spans="1:17" x14ac:dyDescent="0.25">
      <c r="A44" s="92"/>
      <c r="B44" s="93"/>
      <c r="C44" s="99" t="s">
        <v>136</v>
      </c>
      <c r="D44" s="384"/>
      <c r="E44" s="384"/>
      <c r="F44" s="384"/>
      <c r="G44" s="384"/>
      <c r="H44" s="384"/>
      <c r="I44" s="384"/>
      <c r="J44" s="384"/>
      <c r="K44" s="384"/>
      <c r="L44" s="384"/>
      <c r="M44" s="384"/>
      <c r="N44" s="384"/>
      <c r="O44" s="384"/>
      <c r="P44" s="430">
        <f t="shared" si="3"/>
        <v>0</v>
      </c>
      <c r="Q44" s="384"/>
    </row>
    <row r="45" spans="1:17" x14ac:dyDescent="0.25">
      <c r="A45" s="92" t="s">
        <v>31</v>
      </c>
      <c r="B45" s="93" t="s">
        <v>186</v>
      </c>
      <c r="C45" s="94" t="s">
        <v>137</v>
      </c>
      <c r="D45" s="384">
        <v>39.673786666666658</v>
      </c>
      <c r="E45" s="384">
        <v>79.347573333333315</v>
      </c>
      <c r="F45" s="384">
        <v>119.02135999999997</v>
      </c>
      <c r="G45" s="384">
        <v>158.44535999999997</v>
      </c>
      <c r="H45" s="384">
        <v>192.46935999999997</v>
      </c>
      <c r="I45" s="384">
        <v>226.49335999999997</v>
      </c>
      <c r="J45" s="384">
        <v>255.45735999999997</v>
      </c>
      <c r="K45" s="384">
        <v>284.42135999999994</v>
      </c>
      <c r="L45" s="384">
        <v>313.38535999999993</v>
      </c>
      <c r="M45" s="384">
        <v>342.34935999999993</v>
      </c>
      <c r="N45" s="384">
        <v>371.31335999999993</v>
      </c>
      <c r="O45" s="384">
        <v>400.27735999999993</v>
      </c>
      <c r="P45" s="430">
        <f t="shared" si="3"/>
        <v>39.673786666666658</v>
      </c>
      <c r="Q45" s="384">
        <f t="shared" ref="Q45:Q50" si="4">CHOOSE(Mese,D45,E45,F45,G45,H45,I45,J45,K45,L45,M45,N45,O45)</f>
        <v>39.673786666666658</v>
      </c>
    </row>
    <row r="46" spans="1:17" x14ac:dyDescent="0.25">
      <c r="A46" s="92" t="s">
        <v>31</v>
      </c>
      <c r="B46" s="93" t="s">
        <v>187</v>
      </c>
      <c r="C46" s="94" t="s">
        <v>138</v>
      </c>
      <c r="D46" s="384">
        <v>11.275</v>
      </c>
      <c r="E46" s="384">
        <v>22.55</v>
      </c>
      <c r="F46" s="384">
        <v>33.825000000000003</v>
      </c>
      <c r="G46" s="384">
        <v>45.1</v>
      </c>
      <c r="H46" s="384">
        <v>54.375</v>
      </c>
      <c r="I46" s="384">
        <v>63.65</v>
      </c>
      <c r="J46" s="384">
        <v>72.125</v>
      </c>
      <c r="K46" s="384">
        <v>80.599999999999994</v>
      </c>
      <c r="L46" s="384">
        <v>89.075000000000003</v>
      </c>
      <c r="M46" s="384">
        <v>97.55</v>
      </c>
      <c r="N46" s="384">
        <v>106.02500000000001</v>
      </c>
      <c r="O46" s="384">
        <v>114.5</v>
      </c>
      <c r="P46" s="430">
        <f t="shared" si="3"/>
        <v>11.275</v>
      </c>
      <c r="Q46" s="384">
        <f t="shared" si="4"/>
        <v>11.275</v>
      </c>
    </row>
    <row r="47" spans="1:17" x14ac:dyDescent="0.25">
      <c r="A47" s="92" t="s">
        <v>31</v>
      </c>
      <c r="B47" s="93" t="s">
        <v>188</v>
      </c>
      <c r="C47" s="94" t="s">
        <v>396</v>
      </c>
      <c r="D47" s="384">
        <v>16.5</v>
      </c>
      <c r="E47" s="384">
        <v>33</v>
      </c>
      <c r="F47" s="384">
        <v>49.5</v>
      </c>
      <c r="G47" s="384">
        <v>66</v>
      </c>
      <c r="H47" s="384">
        <v>82.5</v>
      </c>
      <c r="I47" s="384">
        <v>99</v>
      </c>
      <c r="J47" s="384">
        <v>115.5</v>
      </c>
      <c r="K47" s="384">
        <v>132</v>
      </c>
      <c r="L47" s="384">
        <v>148.5</v>
      </c>
      <c r="M47" s="384">
        <v>165</v>
      </c>
      <c r="N47" s="384">
        <v>181.5</v>
      </c>
      <c r="O47" s="384">
        <v>198</v>
      </c>
      <c r="P47" s="430">
        <f t="shared" si="3"/>
        <v>16.5</v>
      </c>
      <c r="Q47" s="384">
        <f t="shared" si="4"/>
        <v>16.5</v>
      </c>
    </row>
    <row r="48" spans="1:17" x14ac:dyDescent="0.25">
      <c r="A48" s="92" t="s">
        <v>31</v>
      </c>
      <c r="B48" s="93" t="s">
        <v>189</v>
      </c>
      <c r="C48" s="94" t="s">
        <v>95</v>
      </c>
      <c r="D48" s="384">
        <v>13.5875</v>
      </c>
      <c r="E48" s="384">
        <v>27.175000000000001</v>
      </c>
      <c r="F48" s="384">
        <v>40.762500000000003</v>
      </c>
      <c r="G48" s="384">
        <v>54.65</v>
      </c>
      <c r="H48" s="384">
        <v>68.537499999999994</v>
      </c>
      <c r="I48" s="384">
        <v>82.424999999999997</v>
      </c>
      <c r="J48" s="384">
        <v>96.762500000000003</v>
      </c>
      <c r="K48" s="384">
        <v>110.7175</v>
      </c>
      <c r="L48" s="384">
        <v>124.6725</v>
      </c>
      <c r="M48" s="384">
        <v>138.6275</v>
      </c>
      <c r="N48" s="384">
        <v>152.58250000000001</v>
      </c>
      <c r="O48" s="384">
        <v>166.53749999999999</v>
      </c>
      <c r="P48" s="430">
        <f t="shared" si="3"/>
        <v>13.5875</v>
      </c>
      <c r="Q48" s="384">
        <f t="shared" si="4"/>
        <v>13.5875</v>
      </c>
    </row>
    <row r="49" spans="1:17" x14ac:dyDescent="0.25">
      <c r="A49" s="92" t="s">
        <v>31</v>
      </c>
      <c r="B49" s="93" t="s">
        <v>190</v>
      </c>
      <c r="C49" s="94" t="s">
        <v>397</v>
      </c>
      <c r="D49" s="384">
        <v>10.7</v>
      </c>
      <c r="E49" s="384">
        <v>21.4</v>
      </c>
      <c r="F49" s="384">
        <v>32.1</v>
      </c>
      <c r="G49" s="384">
        <v>38.799999999999997</v>
      </c>
      <c r="H49" s="384">
        <v>39</v>
      </c>
      <c r="I49" s="384">
        <v>39.200000000000003</v>
      </c>
      <c r="J49" s="384">
        <v>45.9</v>
      </c>
      <c r="K49" s="384">
        <v>45.9</v>
      </c>
      <c r="L49" s="384">
        <v>45.9</v>
      </c>
      <c r="M49" s="384">
        <v>52.6</v>
      </c>
      <c r="N49" s="384">
        <v>71</v>
      </c>
      <c r="O49" s="384">
        <v>82.7</v>
      </c>
      <c r="P49" s="430">
        <f t="shared" si="3"/>
        <v>10.7</v>
      </c>
      <c r="Q49" s="384">
        <f t="shared" si="4"/>
        <v>10.7</v>
      </c>
    </row>
    <row r="50" spans="1:17" x14ac:dyDescent="0.25">
      <c r="A50" s="92" t="s">
        <v>31</v>
      </c>
      <c r="B50" s="93" t="s">
        <v>191</v>
      </c>
      <c r="C50" s="94" t="s">
        <v>139</v>
      </c>
      <c r="D50" s="384">
        <v>17.940000000000001</v>
      </c>
      <c r="E50" s="384">
        <v>35.880000000000003</v>
      </c>
      <c r="F50" s="384">
        <v>53.82</v>
      </c>
      <c r="G50" s="384">
        <v>73.594999999999999</v>
      </c>
      <c r="H50" s="384">
        <v>91.37</v>
      </c>
      <c r="I50" s="384">
        <v>109.145</v>
      </c>
      <c r="J50" s="384">
        <v>126.92</v>
      </c>
      <c r="K50" s="384">
        <v>144.69499999999999</v>
      </c>
      <c r="L50" s="384">
        <v>164.47</v>
      </c>
      <c r="M50" s="384">
        <v>182.245</v>
      </c>
      <c r="N50" s="384">
        <v>200.02</v>
      </c>
      <c r="O50" s="384">
        <v>217.79499999999999</v>
      </c>
      <c r="P50" s="430">
        <f t="shared" si="3"/>
        <v>17.940000000000001</v>
      </c>
      <c r="Q50" s="384">
        <f t="shared" si="4"/>
        <v>17.940000000000001</v>
      </c>
    </row>
    <row r="51" spans="1:17" x14ac:dyDescent="0.25">
      <c r="A51" s="92"/>
      <c r="B51" s="93"/>
      <c r="C51" s="99" t="s">
        <v>141</v>
      </c>
      <c r="D51" s="384"/>
      <c r="E51" s="384"/>
      <c r="F51" s="384"/>
      <c r="G51" s="384"/>
      <c r="H51" s="384"/>
      <c r="I51" s="384"/>
      <c r="J51" s="384"/>
      <c r="K51" s="384"/>
      <c r="L51" s="384"/>
      <c r="M51" s="384"/>
      <c r="N51" s="384"/>
      <c r="O51" s="384"/>
      <c r="P51" s="430">
        <f t="shared" si="3"/>
        <v>0</v>
      </c>
      <c r="Q51" s="384"/>
    </row>
    <row r="52" spans="1:17" x14ac:dyDescent="0.25">
      <c r="A52" s="92" t="s">
        <v>31</v>
      </c>
      <c r="B52" s="93" t="s">
        <v>192</v>
      </c>
      <c r="C52" s="94" t="s">
        <v>142</v>
      </c>
      <c r="D52" s="384">
        <v>18.952746312446092</v>
      </c>
      <c r="E52" s="384">
        <v>37.905492624892183</v>
      </c>
      <c r="F52" s="384">
        <v>56.858238937338271</v>
      </c>
      <c r="G52" s="384">
        <v>75.810985249784366</v>
      </c>
      <c r="H52" s="384">
        <v>94.763731562230461</v>
      </c>
      <c r="I52" s="384">
        <v>113.71647787467656</v>
      </c>
      <c r="J52" s="384">
        <v>132.66922418712264</v>
      </c>
      <c r="K52" s="384">
        <v>151.52197049956874</v>
      </c>
      <c r="L52" s="384">
        <v>170.37471681201484</v>
      </c>
      <c r="M52" s="384">
        <v>189.22746312446094</v>
      </c>
      <c r="N52" s="384">
        <v>208.08020943690704</v>
      </c>
      <c r="O52" s="384">
        <v>226.93295574935314</v>
      </c>
      <c r="P52" s="430">
        <f t="shared" si="3"/>
        <v>18.952746312446092</v>
      </c>
      <c r="Q52" s="384">
        <f>CHOOSE(Mese,D52,E52,F52,G52,H52,I52,J52,K52,L52,M52,N52,O52)</f>
        <v>18.952746312446092</v>
      </c>
    </row>
    <row r="53" spans="1:17" x14ac:dyDescent="0.25">
      <c r="A53" s="92" t="s">
        <v>31</v>
      </c>
      <c r="B53" s="93" t="s">
        <v>193</v>
      </c>
      <c r="C53" s="94" t="s">
        <v>143</v>
      </c>
      <c r="D53" s="384">
        <v>13.526097974404392</v>
      </c>
      <c r="E53" s="384">
        <v>27.052195948808784</v>
      </c>
      <c r="F53" s="384">
        <v>40.578293923213174</v>
      </c>
      <c r="G53" s="384">
        <v>54.104391897617568</v>
      </c>
      <c r="H53" s="384">
        <v>67.630489872021954</v>
      </c>
      <c r="I53" s="384">
        <v>81.156587846426348</v>
      </c>
      <c r="J53" s="384">
        <v>94.682685820830741</v>
      </c>
      <c r="K53" s="384">
        <v>108.20878379523514</v>
      </c>
      <c r="L53" s="384">
        <v>121.73488176963953</v>
      </c>
      <c r="M53" s="384">
        <v>135.26097974404391</v>
      </c>
      <c r="N53" s="384">
        <v>148.7870777184483</v>
      </c>
      <c r="O53" s="384">
        <v>162.3131756928527</v>
      </c>
      <c r="P53" s="430">
        <f t="shared" si="3"/>
        <v>13.526097974404392</v>
      </c>
      <c r="Q53" s="384">
        <f>CHOOSE(Mese,D53,E53,F53,G53,H53,I53,J53,K53,L53,M53,N53,O53)</f>
        <v>13.526097974404392</v>
      </c>
    </row>
    <row r="54" spans="1:17" x14ac:dyDescent="0.25">
      <c r="A54" s="92"/>
      <c r="B54" s="93"/>
      <c r="C54" s="99" t="s">
        <v>145</v>
      </c>
      <c r="D54" s="384"/>
      <c r="E54" s="384"/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430">
        <f t="shared" si="3"/>
        <v>0</v>
      </c>
      <c r="Q54" s="384"/>
    </row>
    <row r="55" spans="1:17" x14ac:dyDescent="0.25">
      <c r="A55" s="92" t="s">
        <v>31</v>
      </c>
      <c r="B55" s="93" t="s">
        <v>194</v>
      </c>
      <c r="C55" s="94" t="s">
        <v>146</v>
      </c>
      <c r="D55" s="384">
        <v>4.7194399999999996</v>
      </c>
      <c r="E55" s="384">
        <v>9.476939999999999</v>
      </c>
      <c r="F55" s="384">
        <v>14.253469999999997</v>
      </c>
      <c r="G55" s="384">
        <v>19.049029999999995</v>
      </c>
      <c r="H55" s="384">
        <v>23.825559999999992</v>
      </c>
      <c r="I55" s="384">
        <v>33.226379999999992</v>
      </c>
      <c r="J55" s="384">
        <v>37.983879999999992</v>
      </c>
      <c r="K55" s="384">
        <v>42.608169999999994</v>
      </c>
      <c r="L55" s="384">
        <v>47.365669999999994</v>
      </c>
      <c r="M55" s="384">
        <v>52.104139999999994</v>
      </c>
      <c r="N55" s="384">
        <v>56.823579999999993</v>
      </c>
      <c r="O55" s="384">
        <v>66.110219999999998</v>
      </c>
      <c r="P55" s="430">
        <f t="shared" si="3"/>
        <v>4.7194399999999996</v>
      </c>
      <c r="Q55" s="384">
        <f>CHOOSE(Mese,D55,E55,F55,G55,H55,I55,J55,K55,L55,M55,N55,O55)</f>
        <v>4.7194399999999996</v>
      </c>
    </row>
    <row r="56" spans="1:17" x14ac:dyDescent="0.25">
      <c r="A56" s="92" t="s">
        <v>31</v>
      </c>
      <c r="B56" s="93" t="s">
        <v>195</v>
      </c>
      <c r="C56" s="94" t="s">
        <v>412</v>
      </c>
      <c r="D56" s="384">
        <v>2.0186358333333332</v>
      </c>
      <c r="E56" s="384">
        <v>4.0372716666666664</v>
      </c>
      <c r="F56" s="384">
        <v>6.0559075</v>
      </c>
      <c r="G56" s="384">
        <v>8.0745433333333327</v>
      </c>
      <c r="H56" s="384">
        <v>10.093179166666665</v>
      </c>
      <c r="I56" s="384">
        <v>12.111814999999998</v>
      </c>
      <c r="J56" s="384">
        <v>14.130450833333331</v>
      </c>
      <c r="K56" s="384">
        <v>16.149086666666665</v>
      </c>
      <c r="L56" s="384">
        <v>18.1677225</v>
      </c>
      <c r="M56" s="384">
        <v>20.186358333333335</v>
      </c>
      <c r="N56" s="384">
        <v>22.204994166666669</v>
      </c>
      <c r="O56" s="384">
        <v>24.223630000000004</v>
      </c>
      <c r="P56" s="430">
        <f t="shared" si="3"/>
        <v>2.0186358333333332</v>
      </c>
      <c r="Q56" s="384">
        <f>CHOOSE(Mese,D56,E56,F56,G56,H56,I56,J56,K56,L56,M56,N56,O56)</f>
        <v>2.0186358333333332</v>
      </c>
    </row>
    <row r="57" spans="1:17" x14ac:dyDescent="0.25">
      <c r="A57" s="92" t="s">
        <v>346</v>
      </c>
      <c r="B57" s="93" t="s">
        <v>196</v>
      </c>
      <c r="C57" s="94" t="s">
        <v>147</v>
      </c>
      <c r="D57" s="384">
        <v>159.33333333333334</v>
      </c>
      <c r="E57" s="384">
        <v>318.66666666666669</v>
      </c>
      <c r="F57" s="384">
        <v>478</v>
      </c>
      <c r="G57" s="384">
        <v>637.33333333333337</v>
      </c>
      <c r="H57" s="384">
        <v>796.66666666666674</v>
      </c>
      <c r="I57" s="384">
        <v>956</v>
      </c>
      <c r="J57" s="384">
        <v>1115.3333333333335</v>
      </c>
      <c r="K57" s="384">
        <v>1274.6666666666667</v>
      </c>
      <c r="L57" s="384">
        <v>1434</v>
      </c>
      <c r="M57" s="384">
        <v>1593.3333333333333</v>
      </c>
      <c r="N57" s="384">
        <v>1752.6666666666665</v>
      </c>
      <c r="O57" s="384">
        <v>1912</v>
      </c>
      <c r="P57" s="430">
        <f t="shared" si="3"/>
        <v>159.33333333333334</v>
      </c>
      <c r="Q57" s="384">
        <f>CHOOSE(Mese,D57,E57,F57,G57,H57,I57,J57,K57,L57,M57,N57,O57)</f>
        <v>159.33333333333334</v>
      </c>
    </row>
    <row r="58" spans="1:17" x14ac:dyDescent="0.25">
      <c r="A58" s="92" t="s">
        <v>330</v>
      </c>
      <c r="B58" s="93" t="s">
        <v>197</v>
      </c>
      <c r="C58" s="98" t="s">
        <v>150</v>
      </c>
      <c r="D58" s="384">
        <v>174.9830072222224</v>
      </c>
      <c r="E58" s="384">
        <v>350.88427833333367</v>
      </c>
      <c r="F58" s="384">
        <v>530.52381333333392</v>
      </c>
      <c r="G58" s="384">
        <v>711.05411222222301</v>
      </c>
      <c r="H58" s="384">
        <v>893.02517500000101</v>
      </c>
      <c r="I58" s="384">
        <v>1078.5120016666679</v>
      </c>
      <c r="J58" s="384">
        <v>1276.320425555557</v>
      </c>
      <c r="K58" s="384">
        <v>1477.6691966666683</v>
      </c>
      <c r="L58" s="384">
        <v>1685.0062316666686</v>
      </c>
      <c r="M58" s="384">
        <v>1903.7481972222242</v>
      </c>
      <c r="N58" s="384">
        <v>2123.3534266666688</v>
      </c>
      <c r="O58" s="384">
        <v>2346.4469200000026</v>
      </c>
      <c r="P58" s="430">
        <f t="shared" si="3"/>
        <v>174.9830072222224</v>
      </c>
      <c r="Q58" s="384">
        <f>CHOOSE(Mese,D58,E58,F58,G58,H58,I58,J58,K58,L58,M58,N58,O58)</f>
        <v>174.9830072222224</v>
      </c>
    </row>
    <row r="59" spans="1:17" x14ac:dyDescent="0.25">
      <c r="A59" s="92"/>
      <c r="B59" s="370"/>
      <c r="C59" s="89" t="s">
        <v>198</v>
      </c>
      <c r="D59" s="384"/>
      <c r="E59" s="384"/>
      <c r="F59" s="384"/>
      <c r="G59" s="384"/>
      <c r="H59" s="384"/>
      <c r="I59" s="384"/>
      <c r="J59" s="384"/>
      <c r="K59" s="384"/>
      <c r="L59" s="384"/>
      <c r="M59" s="384"/>
      <c r="N59" s="384"/>
      <c r="O59" s="384"/>
      <c r="P59" s="430">
        <f t="shared" si="3"/>
        <v>0</v>
      </c>
      <c r="Q59" s="384"/>
    </row>
    <row r="60" spans="1:17" x14ac:dyDescent="0.25">
      <c r="A60" s="92"/>
      <c r="B60" s="370"/>
      <c r="C60" s="100" t="s">
        <v>439</v>
      </c>
      <c r="D60" s="384"/>
      <c r="E60" s="384"/>
      <c r="F60" s="384"/>
      <c r="G60" s="384"/>
      <c r="H60" s="384"/>
      <c r="I60" s="384"/>
      <c r="J60" s="384"/>
      <c r="K60" s="384"/>
      <c r="L60" s="384"/>
      <c r="M60" s="384"/>
      <c r="N60" s="384"/>
      <c r="O60" s="384"/>
      <c r="P60" s="430">
        <f t="shared" si="3"/>
        <v>0</v>
      </c>
      <c r="Q60" s="384"/>
    </row>
    <row r="61" spans="1:17" x14ac:dyDescent="0.25">
      <c r="A61" s="92" t="s">
        <v>199</v>
      </c>
      <c r="B61" s="370" t="s">
        <v>200</v>
      </c>
      <c r="C61" s="101" t="s">
        <v>433</v>
      </c>
      <c r="D61" s="384">
        <v>173.29863325316668</v>
      </c>
      <c r="E61" s="384">
        <v>346.59726650633337</v>
      </c>
      <c r="F61" s="384">
        <v>519.89589975950003</v>
      </c>
      <c r="G61" s="384">
        <v>693.19453301266674</v>
      </c>
      <c r="H61" s="384">
        <v>866.49316626583345</v>
      </c>
      <c r="I61" s="384">
        <v>1039.7917995190001</v>
      </c>
      <c r="J61" s="384">
        <v>1213.0904327721667</v>
      </c>
      <c r="K61" s="384">
        <v>1386.3890660253335</v>
      </c>
      <c r="L61" s="384">
        <v>1559.6876992785001</v>
      </c>
      <c r="M61" s="384">
        <v>1732.9863325316669</v>
      </c>
      <c r="N61" s="384">
        <v>1906.2849657848335</v>
      </c>
      <c r="O61" s="384">
        <v>2079.5835990380001</v>
      </c>
      <c r="P61" s="430">
        <f t="shared" si="3"/>
        <v>173.29863325316668</v>
      </c>
      <c r="Q61" s="384">
        <f t="shared" ref="Q61:Q67" si="5">CHOOSE(Mese,D61,E61,F61,G61,H61,I61,J61,K61,L61,M61,N61,O61)</f>
        <v>173.29863325316668</v>
      </c>
    </row>
    <row r="62" spans="1:17" x14ac:dyDescent="0.25">
      <c r="A62" s="92" t="s">
        <v>199</v>
      </c>
      <c r="B62" s="370" t="s">
        <v>201</v>
      </c>
      <c r="C62" s="101" t="s">
        <v>434</v>
      </c>
      <c r="D62" s="384">
        <v>0</v>
      </c>
      <c r="E62" s="384">
        <v>0</v>
      </c>
      <c r="F62" s="384">
        <v>0</v>
      </c>
      <c r="G62" s="384">
        <v>0</v>
      </c>
      <c r="H62" s="384">
        <v>0</v>
      </c>
      <c r="I62" s="384">
        <v>0</v>
      </c>
      <c r="J62" s="384">
        <v>0</v>
      </c>
      <c r="K62" s="384">
        <v>0</v>
      </c>
      <c r="L62" s="384">
        <v>0</v>
      </c>
      <c r="M62" s="384">
        <v>0</v>
      </c>
      <c r="N62" s="384">
        <v>0</v>
      </c>
      <c r="O62" s="384">
        <v>0</v>
      </c>
      <c r="P62" s="430">
        <f t="shared" si="3"/>
        <v>0</v>
      </c>
      <c r="Q62" s="384">
        <f t="shared" si="5"/>
        <v>0</v>
      </c>
    </row>
    <row r="63" spans="1:17" x14ac:dyDescent="0.25">
      <c r="A63" s="92" t="s">
        <v>199</v>
      </c>
      <c r="B63" s="370" t="s">
        <v>202</v>
      </c>
      <c r="C63" s="101" t="s">
        <v>435</v>
      </c>
      <c r="D63" s="384">
        <v>0</v>
      </c>
      <c r="E63" s="384">
        <v>0</v>
      </c>
      <c r="F63" s="384">
        <v>0</v>
      </c>
      <c r="G63" s="384">
        <v>0</v>
      </c>
      <c r="H63" s="384">
        <v>0</v>
      </c>
      <c r="I63" s="384">
        <v>0</v>
      </c>
      <c r="J63" s="384">
        <v>0</v>
      </c>
      <c r="K63" s="384">
        <v>0</v>
      </c>
      <c r="L63" s="384">
        <v>0</v>
      </c>
      <c r="M63" s="384">
        <v>0</v>
      </c>
      <c r="N63" s="384">
        <v>0</v>
      </c>
      <c r="O63" s="384">
        <v>0</v>
      </c>
      <c r="P63" s="430">
        <f t="shared" si="3"/>
        <v>0</v>
      </c>
      <c r="Q63" s="384">
        <f t="shared" si="5"/>
        <v>0</v>
      </c>
    </row>
    <row r="64" spans="1:17" x14ac:dyDescent="0.25">
      <c r="A64" s="92" t="s">
        <v>199</v>
      </c>
      <c r="B64" s="370" t="s">
        <v>203</v>
      </c>
      <c r="C64" s="101" t="s">
        <v>436</v>
      </c>
      <c r="D64" s="384">
        <v>0</v>
      </c>
      <c r="E64" s="384">
        <v>0</v>
      </c>
      <c r="F64" s="384">
        <v>0</v>
      </c>
      <c r="G64" s="384">
        <v>0</v>
      </c>
      <c r="H64" s="384">
        <v>0</v>
      </c>
      <c r="I64" s="384">
        <v>0</v>
      </c>
      <c r="J64" s="384">
        <v>0</v>
      </c>
      <c r="K64" s="384">
        <v>0</v>
      </c>
      <c r="L64" s="384">
        <v>0</v>
      </c>
      <c r="M64" s="384">
        <v>0</v>
      </c>
      <c r="N64" s="384">
        <v>0</v>
      </c>
      <c r="O64" s="384">
        <v>0</v>
      </c>
      <c r="P64" s="430">
        <f t="shared" si="3"/>
        <v>0</v>
      </c>
      <c r="Q64" s="384">
        <f t="shared" si="5"/>
        <v>0</v>
      </c>
    </row>
    <row r="65" spans="1:17" x14ac:dyDescent="0.25">
      <c r="A65" s="92" t="s">
        <v>330</v>
      </c>
      <c r="B65" s="370" t="s">
        <v>204</v>
      </c>
      <c r="C65" s="101" t="s">
        <v>398</v>
      </c>
      <c r="D65" s="384">
        <v>156.87011529755154</v>
      </c>
      <c r="E65" s="384">
        <v>319.74309255932212</v>
      </c>
      <c r="F65" s="384">
        <v>488.6189317853117</v>
      </c>
      <c r="G65" s="384">
        <v>663.49763297552033</v>
      </c>
      <c r="H65" s="384">
        <v>844.37919612994801</v>
      </c>
      <c r="I65" s="384">
        <v>1031.2636212485947</v>
      </c>
      <c r="J65" s="384">
        <v>1224.1509083314604</v>
      </c>
      <c r="K65" s="384">
        <v>1423.0410573785452</v>
      </c>
      <c r="L65" s="384">
        <v>1627.934068389849</v>
      </c>
      <c r="M65" s="384">
        <v>1838.8299413653717</v>
      </c>
      <c r="N65" s="384">
        <v>2055.7286763051134</v>
      </c>
      <c r="O65" s="384">
        <v>2278.6302732090744</v>
      </c>
      <c r="P65" s="430">
        <f t="shared" si="3"/>
        <v>156.87011529755154</v>
      </c>
      <c r="Q65" s="384">
        <f t="shared" si="5"/>
        <v>156.87011529755154</v>
      </c>
    </row>
    <row r="66" spans="1:17" x14ac:dyDescent="0.25">
      <c r="A66" s="92" t="s">
        <v>199</v>
      </c>
      <c r="B66" s="370" t="s">
        <v>205</v>
      </c>
      <c r="C66" s="101" t="s">
        <v>431</v>
      </c>
      <c r="D66" s="384">
        <v>0</v>
      </c>
      <c r="E66" s="384">
        <v>0</v>
      </c>
      <c r="F66" s="384">
        <v>0</v>
      </c>
      <c r="G66" s="384">
        <v>0</v>
      </c>
      <c r="H66" s="384">
        <v>0</v>
      </c>
      <c r="I66" s="384">
        <v>0</v>
      </c>
      <c r="J66" s="384">
        <v>0</v>
      </c>
      <c r="K66" s="384">
        <v>0</v>
      </c>
      <c r="L66" s="384">
        <v>0</v>
      </c>
      <c r="M66" s="384">
        <v>0</v>
      </c>
      <c r="N66" s="384">
        <v>0</v>
      </c>
      <c r="O66" s="384">
        <v>0</v>
      </c>
      <c r="P66" s="430">
        <f t="shared" si="3"/>
        <v>0</v>
      </c>
      <c r="Q66" s="384">
        <f t="shared" si="5"/>
        <v>0</v>
      </c>
    </row>
    <row r="67" spans="1:17" x14ac:dyDescent="0.25">
      <c r="A67" s="92" t="s">
        <v>199</v>
      </c>
      <c r="B67" s="370" t="s">
        <v>206</v>
      </c>
      <c r="C67" s="101" t="s">
        <v>432</v>
      </c>
      <c r="D67" s="384">
        <v>45.903999999999996</v>
      </c>
      <c r="E67" s="384">
        <v>91.807999999999993</v>
      </c>
      <c r="F67" s="384">
        <v>137.71199999999999</v>
      </c>
      <c r="G67" s="384">
        <v>183.61599999999999</v>
      </c>
      <c r="H67" s="384">
        <v>229.52</v>
      </c>
      <c r="I67" s="384">
        <v>275.42399999999998</v>
      </c>
      <c r="J67" s="384">
        <v>321.32799999999997</v>
      </c>
      <c r="K67" s="384">
        <v>367.23199999999997</v>
      </c>
      <c r="L67" s="384">
        <v>413.13599999999997</v>
      </c>
      <c r="M67" s="384">
        <v>459.04</v>
      </c>
      <c r="N67" s="384">
        <v>504.94399999999996</v>
      </c>
      <c r="O67" s="384">
        <v>550.84799999999996</v>
      </c>
      <c r="P67" s="430">
        <f t="shared" si="3"/>
        <v>45.903999999999996</v>
      </c>
      <c r="Q67" s="384">
        <f t="shared" si="5"/>
        <v>45.903999999999996</v>
      </c>
    </row>
    <row r="68" spans="1:17" x14ac:dyDescent="0.25">
      <c r="A68" s="92"/>
      <c r="B68" s="370"/>
      <c r="C68" s="100" t="s">
        <v>440</v>
      </c>
      <c r="D68" s="384"/>
      <c r="E68" s="384"/>
      <c r="F68" s="384"/>
      <c r="G68" s="384"/>
      <c r="H68" s="384"/>
      <c r="I68" s="384"/>
      <c r="J68" s="384"/>
      <c r="K68" s="384"/>
      <c r="L68" s="384"/>
      <c r="M68" s="384"/>
      <c r="N68" s="384"/>
      <c r="O68" s="384"/>
      <c r="P68" s="430">
        <f t="shared" ref="P68:P99" si="6">IF(Mese=1,Q68,Q68-CHOOSE(Mese-1,D68,E68,F68,G68,H68,I68,J68,K68,L68,M68,N68,O68))</f>
        <v>0</v>
      </c>
      <c r="Q68" s="384"/>
    </row>
    <row r="69" spans="1:17" x14ac:dyDescent="0.25">
      <c r="A69" s="92" t="s">
        <v>199</v>
      </c>
      <c r="B69" s="370" t="s">
        <v>207</v>
      </c>
      <c r="C69" s="101" t="s">
        <v>441</v>
      </c>
      <c r="D69" s="384">
        <v>596.41307771145216</v>
      </c>
      <c r="E69" s="384">
        <v>1205.4497731049337</v>
      </c>
      <c r="F69" s="384">
        <v>1827.1066370715075</v>
      </c>
      <c r="G69" s="384">
        <v>2461.3802205022371</v>
      </c>
      <c r="H69" s="384">
        <v>3108.2670742881855</v>
      </c>
      <c r="I69" s="384">
        <v>3767.7637493204165</v>
      </c>
      <c r="J69" s="384">
        <v>4439.8667964899923</v>
      </c>
      <c r="K69" s="384">
        <v>5124.5727666879775</v>
      </c>
      <c r="L69" s="384">
        <v>5821.8782108054347</v>
      </c>
      <c r="M69" s="384">
        <v>6531.7796797334277</v>
      </c>
      <c r="N69" s="384">
        <v>7254.273724363019</v>
      </c>
      <c r="O69" s="384">
        <v>7989.3568955852706</v>
      </c>
      <c r="P69" s="430">
        <f t="shared" si="6"/>
        <v>596.41307771145216</v>
      </c>
      <c r="Q69" s="384">
        <f>CHOOSE(Mese,D69,E69,F69,G69,H69,I69,J69,K69,L69,M69,N69,O69)</f>
        <v>596.41307771145216</v>
      </c>
    </row>
    <row r="70" spans="1:17" x14ac:dyDescent="0.25">
      <c r="A70" s="92" t="s">
        <v>199</v>
      </c>
      <c r="B70" s="370" t="s">
        <v>208</v>
      </c>
      <c r="C70" s="101" t="s">
        <v>442</v>
      </c>
      <c r="D70" s="384">
        <v>0</v>
      </c>
      <c r="E70" s="384">
        <v>0</v>
      </c>
      <c r="F70" s="384">
        <v>0</v>
      </c>
      <c r="G70" s="384">
        <v>0</v>
      </c>
      <c r="H70" s="384">
        <v>0</v>
      </c>
      <c r="I70" s="384">
        <v>0</v>
      </c>
      <c r="J70" s="384">
        <v>0</v>
      </c>
      <c r="K70" s="384">
        <v>0</v>
      </c>
      <c r="L70" s="384">
        <v>0</v>
      </c>
      <c r="M70" s="384">
        <v>0</v>
      </c>
      <c r="N70" s="384">
        <v>0</v>
      </c>
      <c r="O70" s="384">
        <v>0</v>
      </c>
      <c r="P70" s="430">
        <f t="shared" si="6"/>
        <v>0</v>
      </c>
      <c r="Q70" s="384">
        <f>CHOOSE(Mese,D70,E70,F70,G70,H70,I70,J70,K70,L70,M70,N70,O70)</f>
        <v>0</v>
      </c>
    </row>
    <row r="71" spans="1:17" x14ac:dyDescent="0.25">
      <c r="A71" s="92"/>
      <c r="B71" s="370"/>
      <c r="C71" s="100" t="s">
        <v>91</v>
      </c>
      <c r="D71" s="384"/>
      <c r="E71" s="384"/>
      <c r="F71" s="384"/>
      <c r="G71" s="384"/>
      <c r="H71" s="384"/>
      <c r="I71" s="384"/>
      <c r="J71" s="384"/>
      <c r="K71" s="384"/>
      <c r="L71" s="384"/>
      <c r="M71" s="384"/>
      <c r="N71" s="384"/>
      <c r="O71" s="384"/>
      <c r="P71" s="430">
        <f t="shared" si="6"/>
        <v>0</v>
      </c>
      <c r="Q71" s="384"/>
    </row>
    <row r="72" spans="1:17" x14ac:dyDescent="0.25">
      <c r="A72" s="92" t="s">
        <v>199</v>
      </c>
      <c r="B72" s="370" t="s">
        <v>209</v>
      </c>
      <c r="C72" s="101" t="s">
        <v>437</v>
      </c>
      <c r="D72" s="384">
        <v>677.75860139283202</v>
      </c>
      <c r="E72" s="384">
        <v>1373.6881680606107</v>
      </c>
      <c r="F72" s="384">
        <v>2087.7887000033356</v>
      </c>
      <c r="G72" s="384">
        <v>2865.0601972210075</v>
      </c>
      <c r="H72" s="384">
        <v>3660.5026597136257</v>
      </c>
      <c r="I72" s="384">
        <v>4474.1160874811903</v>
      </c>
      <c r="J72" s="384">
        <v>5305.9004805237018</v>
      </c>
      <c r="K72" s="384">
        <v>6155.8558388411593</v>
      </c>
      <c r="L72" s="384">
        <v>7023.9821624335636</v>
      </c>
      <c r="M72" s="384">
        <v>7910.2794513009139</v>
      </c>
      <c r="N72" s="384">
        <v>8814.7477054432111</v>
      </c>
      <c r="O72" s="384">
        <v>9737.3869248604551</v>
      </c>
      <c r="P72" s="430">
        <f t="shared" si="6"/>
        <v>677.75860139283202</v>
      </c>
      <c r="Q72" s="384">
        <f>CHOOSE(Mese,D72,E72,F72,G72,H72,I72,J72,K72,L72,M72,N72,O72)</f>
        <v>677.75860139283202</v>
      </c>
    </row>
    <row r="73" spans="1:17" x14ac:dyDescent="0.25">
      <c r="A73" s="92" t="s">
        <v>199</v>
      </c>
      <c r="B73" s="370" t="s">
        <v>210</v>
      </c>
      <c r="C73" s="101" t="s">
        <v>438</v>
      </c>
      <c r="D73" s="384">
        <v>0</v>
      </c>
      <c r="E73" s="384">
        <v>0</v>
      </c>
      <c r="F73" s="384">
        <v>0</v>
      </c>
      <c r="G73" s="384">
        <v>0</v>
      </c>
      <c r="H73" s="384">
        <v>0</v>
      </c>
      <c r="I73" s="384">
        <v>0</v>
      </c>
      <c r="J73" s="384">
        <v>0</v>
      </c>
      <c r="K73" s="384">
        <v>0</v>
      </c>
      <c r="L73" s="384">
        <v>0</v>
      </c>
      <c r="M73" s="384">
        <v>0</v>
      </c>
      <c r="N73" s="384">
        <v>0</v>
      </c>
      <c r="O73" s="384">
        <v>0</v>
      </c>
      <c r="P73" s="430">
        <f t="shared" si="6"/>
        <v>0</v>
      </c>
      <c r="Q73" s="384">
        <f>CHOOSE(Mese,D73,E73,F73,G73,H73,I73,J73,K73,L73,M73,N73,O73)</f>
        <v>0</v>
      </c>
    </row>
    <row r="74" spans="1:17" x14ac:dyDescent="0.25">
      <c r="A74" s="92" t="s">
        <v>199</v>
      </c>
      <c r="B74" s="370" t="s">
        <v>211</v>
      </c>
      <c r="C74" s="101" t="s">
        <v>90</v>
      </c>
      <c r="D74" s="384">
        <v>0</v>
      </c>
      <c r="E74" s="384">
        <v>0</v>
      </c>
      <c r="F74" s="384">
        <v>0</v>
      </c>
      <c r="G74" s="384">
        <v>0</v>
      </c>
      <c r="H74" s="384">
        <v>0</v>
      </c>
      <c r="I74" s="384">
        <v>0</v>
      </c>
      <c r="J74" s="384">
        <v>0</v>
      </c>
      <c r="K74" s="384">
        <v>0</v>
      </c>
      <c r="L74" s="384">
        <v>0</v>
      </c>
      <c r="M74" s="384">
        <v>0</v>
      </c>
      <c r="N74" s="384">
        <v>0</v>
      </c>
      <c r="O74" s="384">
        <v>0</v>
      </c>
      <c r="P74" s="430">
        <f t="shared" si="6"/>
        <v>0</v>
      </c>
      <c r="Q74" s="384">
        <f>CHOOSE(Mese,D74,E74,F74,G74,H74,I74,J74,K74,L74,M74,N74,O74)</f>
        <v>0</v>
      </c>
    </row>
    <row r="75" spans="1:17" x14ac:dyDescent="0.25">
      <c r="A75" s="92" t="s">
        <v>199</v>
      </c>
      <c r="B75" s="370" t="s">
        <v>212</v>
      </c>
      <c r="C75" s="101" t="s">
        <v>399</v>
      </c>
      <c r="D75" s="384">
        <v>8.6676886663634036</v>
      </c>
      <c r="E75" s="384">
        <v>17.335377332726807</v>
      </c>
      <c r="F75" s="384">
        <v>26.003065999090211</v>
      </c>
      <c r="G75" s="384">
        <v>34.670754665453615</v>
      </c>
      <c r="H75" s="384">
        <v>43.338443331817018</v>
      </c>
      <c r="I75" s="384">
        <v>52.006131998180422</v>
      </c>
      <c r="J75" s="384">
        <v>60.673820664543825</v>
      </c>
      <c r="K75" s="384">
        <v>69.341509330907229</v>
      </c>
      <c r="L75" s="384">
        <v>78.009197997270633</v>
      </c>
      <c r="M75" s="384">
        <v>86.676886663634036</v>
      </c>
      <c r="N75" s="384">
        <v>95.34457532999744</v>
      </c>
      <c r="O75" s="384">
        <v>104.01226399636084</v>
      </c>
      <c r="P75" s="430">
        <f t="shared" si="6"/>
        <v>8.6676886663634036</v>
      </c>
      <c r="Q75" s="384">
        <f>CHOOSE(Mese,D75,E75,F75,G75,H75,I75,J75,K75,L75,M75,N75,O75)</f>
        <v>8.6676886663634036</v>
      </c>
    </row>
    <row r="76" spans="1:17" x14ac:dyDescent="0.25">
      <c r="A76" s="92"/>
      <c r="B76" s="370"/>
      <c r="C76" s="89" t="s">
        <v>213</v>
      </c>
      <c r="D76" s="384"/>
      <c r="E76" s="384"/>
      <c r="F76" s="384"/>
      <c r="G76" s="384"/>
      <c r="H76" s="384"/>
      <c r="I76" s="384"/>
      <c r="J76" s="384"/>
      <c r="K76" s="384"/>
      <c r="L76" s="384"/>
      <c r="M76" s="384"/>
      <c r="N76" s="384"/>
      <c r="O76" s="384"/>
      <c r="P76" s="430">
        <f t="shared" si="6"/>
        <v>0</v>
      </c>
      <c r="Q76" s="384"/>
    </row>
    <row r="77" spans="1:17" x14ac:dyDescent="0.25">
      <c r="A77" s="92" t="s">
        <v>332</v>
      </c>
      <c r="B77" s="370" t="s">
        <v>215</v>
      </c>
      <c r="C77" s="102" t="s">
        <v>400</v>
      </c>
      <c r="D77" s="384">
        <v>43.14033666666667</v>
      </c>
      <c r="E77" s="384">
        <v>86.28067333333334</v>
      </c>
      <c r="F77" s="384">
        <v>129.42101000000002</v>
      </c>
      <c r="G77" s="384">
        <v>172.56134666666668</v>
      </c>
      <c r="H77" s="384">
        <v>215.70168333333334</v>
      </c>
      <c r="I77" s="384">
        <v>258.84201999999999</v>
      </c>
      <c r="J77" s="384">
        <v>301.98235666666665</v>
      </c>
      <c r="K77" s="384">
        <v>345.1226933333333</v>
      </c>
      <c r="L77" s="384">
        <v>388.26302999999996</v>
      </c>
      <c r="M77" s="384">
        <v>431.40336666666661</v>
      </c>
      <c r="N77" s="384">
        <v>474.54370333333327</v>
      </c>
      <c r="O77" s="384">
        <v>517.68403999999998</v>
      </c>
      <c r="P77" s="430">
        <f t="shared" si="6"/>
        <v>43.14033666666667</v>
      </c>
      <c r="Q77" s="384">
        <f t="shared" ref="Q77:Q82" si="7">CHOOSE(Mese,D77,E77,F77,G77,H77,I77,J77,K77,L77,M77,N77,O77)</f>
        <v>43.14033666666667</v>
      </c>
    </row>
    <row r="78" spans="1:17" x14ac:dyDescent="0.25">
      <c r="A78" s="92" t="s">
        <v>338</v>
      </c>
      <c r="B78" s="370" t="s">
        <v>216</v>
      </c>
      <c r="C78" s="102" t="s">
        <v>401</v>
      </c>
      <c r="D78" s="384">
        <v>67.67</v>
      </c>
      <c r="E78" s="384">
        <v>135.34</v>
      </c>
      <c r="F78" s="384">
        <v>203.01</v>
      </c>
      <c r="G78" s="384">
        <v>277.67666666666668</v>
      </c>
      <c r="H78" s="384">
        <v>352.34333333333336</v>
      </c>
      <c r="I78" s="384">
        <v>427.01</v>
      </c>
      <c r="J78" s="384">
        <v>498.40666666666675</v>
      </c>
      <c r="K78" s="384">
        <v>569.8033333333334</v>
      </c>
      <c r="L78" s="384">
        <v>641.20000000000005</v>
      </c>
      <c r="M78" s="384">
        <v>720.53666666666675</v>
      </c>
      <c r="N78" s="384">
        <v>799.87333333333345</v>
      </c>
      <c r="O78" s="384">
        <v>879.21</v>
      </c>
      <c r="P78" s="430">
        <f t="shared" si="6"/>
        <v>67.67</v>
      </c>
      <c r="Q78" s="384">
        <f t="shared" si="7"/>
        <v>67.67</v>
      </c>
    </row>
    <row r="79" spans="1:17" x14ac:dyDescent="0.25">
      <c r="A79" s="92" t="s">
        <v>347</v>
      </c>
      <c r="B79" s="370" t="s">
        <v>217</v>
      </c>
      <c r="C79" s="102" t="s">
        <v>402</v>
      </c>
      <c r="D79" s="384">
        <v>0.42760083333333332</v>
      </c>
      <c r="E79" s="384">
        <v>0.85520166666666664</v>
      </c>
      <c r="F79" s="384">
        <v>1.6161358333333333</v>
      </c>
      <c r="G79" s="384">
        <v>2.3770699999999998</v>
      </c>
      <c r="H79" s="384">
        <v>3.1380041666666663</v>
      </c>
      <c r="I79" s="384">
        <v>3.8989383333333327</v>
      </c>
      <c r="J79" s="384">
        <v>4.6598724999999996</v>
      </c>
      <c r="K79" s="384">
        <v>5.4208066666666666</v>
      </c>
      <c r="L79" s="384">
        <v>6.1817408333333335</v>
      </c>
      <c r="M79" s="384">
        <v>6.9426750000000004</v>
      </c>
      <c r="N79" s="384">
        <v>7.7036091666666673</v>
      </c>
      <c r="O79" s="384">
        <v>8.4645433333333333</v>
      </c>
      <c r="P79" s="430">
        <f t="shared" si="6"/>
        <v>0.42760083333333332</v>
      </c>
      <c r="Q79" s="384">
        <f t="shared" si="7"/>
        <v>0.42760083333333332</v>
      </c>
    </row>
    <row r="80" spans="1:17" x14ac:dyDescent="0.25">
      <c r="A80" s="92" t="s">
        <v>214</v>
      </c>
      <c r="B80" s="370" t="s">
        <v>218</v>
      </c>
      <c r="C80" s="102" t="s">
        <v>403</v>
      </c>
      <c r="D80" s="384">
        <v>16.265793333333331</v>
      </c>
      <c r="E80" s="384">
        <v>32.531586666666662</v>
      </c>
      <c r="F80" s="384">
        <v>48.79737999999999</v>
      </c>
      <c r="G80" s="384">
        <v>65.063173333333324</v>
      </c>
      <c r="H80" s="384">
        <v>81.328966666666659</v>
      </c>
      <c r="I80" s="384">
        <v>97.594759999999994</v>
      </c>
      <c r="J80" s="384">
        <v>113.86055333333333</v>
      </c>
      <c r="K80" s="384">
        <v>130.12634666666665</v>
      </c>
      <c r="L80" s="384">
        <v>146.39213999999998</v>
      </c>
      <c r="M80" s="384">
        <v>162.65793333333332</v>
      </c>
      <c r="N80" s="384">
        <v>178.92372666666665</v>
      </c>
      <c r="O80" s="384">
        <v>195.21275999999997</v>
      </c>
      <c r="P80" s="430">
        <f t="shared" si="6"/>
        <v>16.265793333333331</v>
      </c>
      <c r="Q80" s="384">
        <f t="shared" si="7"/>
        <v>16.265793333333331</v>
      </c>
    </row>
    <row r="81" spans="1:17" x14ac:dyDescent="0.25">
      <c r="A81" s="92" t="s">
        <v>214</v>
      </c>
      <c r="B81" s="370" t="s">
        <v>219</v>
      </c>
      <c r="C81" s="102" t="s">
        <v>404</v>
      </c>
      <c r="D81" s="384">
        <v>19.166666666666668</v>
      </c>
      <c r="E81" s="384">
        <v>38.333333333333336</v>
      </c>
      <c r="F81" s="384">
        <v>57.5</v>
      </c>
      <c r="G81" s="384">
        <v>76.666666666666671</v>
      </c>
      <c r="H81" s="384">
        <v>95.833333333333343</v>
      </c>
      <c r="I81" s="384">
        <v>115</v>
      </c>
      <c r="J81" s="384">
        <v>134.16666666666669</v>
      </c>
      <c r="K81" s="384">
        <v>153.33333333333334</v>
      </c>
      <c r="L81" s="384">
        <v>172.5</v>
      </c>
      <c r="M81" s="384">
        <v>176.66666666666666</v>
      </c>
      <c r="N81" s="384">
        <v>180.83333333333331</v>
      </c>
      <c r="O81" s="384">
        <v>185</v>
      </c>
      <c r="P81" s="430">
        <f t="shared" si="6"/>
        <v>19.166666666666668</v>
      </c>
      <c r="Q81" s="384">
        <f t="shared" si="7"/>
        <v>19.166666666666668</v>
      </c>
    </row>
    <row r="82" spans="1:17" x14ac:dyDescent="0.25">
      <c r="A82" s="92" t="s">
        <v>214</v>
      </c>
      <c r="B82" s="370" t="s">
        <v>220</v>
      </c>
      <c r="C82" s="102" t="s">
        <v>405</v>
      </c>
      <c r="D82" s="384">
        <v>5.6833333333333327</v>
      </c>
      <c r="E82" s="384">
        <v>11.366666666666665</v>
      </c>
      <c r="F82" s="384">
        <v>17.05</v>
      </c>
      <c r="G82" s="384">
        <v>22.733333333333331</v>
      </c>
      <c r="H82" s="384">
        <v>28.416666666666664</v>
      </c>
      <c r="I82" s="384">
        <v>34.1</v>
      </c>
      <c r="J82" s="384">
        <v>39.783333333333324</v>
      </c>
      <c r="K82" s="384">
        <v>45.466666666666654</v>
      </c>
      <c r="L82" s="384">
        <v>51.15</v>
      </c>
      <c r="M82" s="384">
        <v>56.833333333333314</v>
      </c>
      <c r="N82" s="384">
        <v>62.516666666666644</v>
      </c>
      <c r="O82" s="384">
        <v>68.2</v>
      </c>
      <c r="P82" s="430">
        <f t="shared" si="6"/>
        <v>5.6833333333333327</v>
      </c>
      <c r="Q82" s="384">
        <f t="shared" si="7"/>
        <v>5.6833333333333327</v>
      </c>
    </row>
    <row r="83" spans="1:17" x14ac:dyDescent="0.25">
      <c r="A83" s="92"/>
      <c r="B83" s="370"/>
      <c r="C83" s="89" t="s">
        <v>426</v>
      </c>
      <c r="D83" s="384"/>
      <c r="E83" s="384"/>
      <c r="F83" s="384"/>
      <c r="G83" s="384"/>
      <c r="H83" s="384"/>
      <c r="I83" s="384"/>
      <c r="J83" s="384"/>
      <c r="K83" s="384"/>
      <c r="L83" s="384"/>
      <c r="M83" s="384"/>
      <c r="N83" s="384"/>
      <c r="O83" s="384"/>
      <c r="P83" s="430">
        <f t="shared" si="6"/>
        <v>0</v>
      </c>
      <c r="Q83" s="384"/>
    </row>
    <row r="84" spans="1:17" x14ac:dyDescent="0.25">
      <c r="A84" s="92"/>
      <c r="B84" s="370"/>
      <c r="C84" s="100" t="s">
        <v>93</v>
      </c>
      <c r="D84" s="384"/>
      <c r="E84" s="384"/>
      <c r="F84" s="384"/>
      <c r="G84" s="384"/>
      <c r="H84" s="384"/>
      <c r="I84" s="384"/>
      <c r="J84" s="384"/>
      <c r="K84" s="384"/>
      <c r="L84" s="384"/>
      <c r="M84" s="384"/>
      <c r="N84" s="384"/>
      <c r="O84" s="384"/>
      <c r="P84" s="430">
        <f t="shared" si="6"/>
        <v>0</v>
      </c>
      <c r="Q84" s="384"/>
    </row>
    <row r="85" spans="1:17" x14ac:dyDescent="0.25">
      <c r="A85" s="92" t="s">
        <v>337</v>
      </c>
      <c r="B85" s="370" t="s">
        <v>221</v>
      </c>
      <c r="C85" s="103" t="s">
        <v>94</v>
      </c>
      <c r="D85" s="384">
        <v>38.6</v>
      </c>
      <c r="E85" s="384">
        <v>77.2</v>
      </c>
      <c r="F85" s="384">
        <v>115.8</v>
      </c>
      <c r="G85" s="384">
        <v>154.4</v>
      </c>
      <c r="H85" s="384">
        <v>193</v>
      </c>
      <c r="I85" s="384">
        <v>231.6</v>
      </c>
      <c r="J85" s="384">
        <v>270.2</v>
      </c>
      <c r="K85" s="384">
        <v>308.8</v>
      </c>
      <c r="L85" s="384">
        <v>347.4</v>
      </c>
      <c r="M85" s="384">
        <v>386</v>
      </c>
      <c r="N85" s="384">
        <v>424.6</v>
      </c>
      <c r="O85" s="384">
        <v>463.2</v>
      </c>
      <c r="P85" s="430">
        <f t="shared" si="6"/>
        <v>38.6</v>
      </c>
      <c r="Q85" s="384">
        <f>CHOOSE(Mese,D85,E85,F85,G85,H85,I85,J85,K85,L85,M85,N85,O85)</f>
        <v>38.6</v>
      </c>
    </row>
    <row r="86" spans="1:17" x14ac:dyDescent="0.25">
      <c r="A86" s="92" t="s">
        <v>337</v>
      </c>
      <c r="B86" s="370" t="s">
        <v>222</v>
      </c>
      <c r="C86" s="103" t="s">
        <v>443</v>
      </c>
      <c r="D86" s="384">
        <v>70.022499999999994</v>
      </c>
      <c r="E86" s="384">
        <v>140.04499999999999</v>
      </c>
      <c r="F86" s="384">
        <v>210.0675</v>
      </c>
      <c r="G86" s="384">
        <v>281.79000000000002</v>
      </c>
      <c r="H86" s="384">
        <v>353.51249999999999</v>
      </c>
      <c r="I86" s="384">
        <v>425.23500000000001</v>
      </c>
      <c r="J86" s="384">
        <v>499.50749999999999</v>
      </c>
      <c r="K86" s="384">
        <v>574.16250000000002</v>
      </c>
      <c r="L86" s="384">
        <v>648.8175</v>
      </c>
      <c r="M86" s="384">
        <v>723.47249999999997</v>
      </c>
      <c r="N86" s="384">
        <v>798.12750000000005</v>
      </c>
      <c r="O86" s="384">
        <v>872.78250000000003</v>
      </c>
      <c r="P86" s="430">
        <f t="shared" si="6"/>
        <v>70.022499999999994</v>
      </c>
      <c r="Q86" s="384">
        <f>CHOOSE(Mese,D86,E86,F86,G86,H86,I86,J86,K86,L86,M86,N86,O86)</f>
        <v>70.022499999999994</v>
      </c>
    </row>
    <row r="87" spans="1:17" x14ac:dyDescent="0.25">
      <c r="A87" s="92" t="s">
        <v>337</v>
      </c>
      <c r="B87" s="370" t="s">
        <v>223</v>
      </c>
      <c r="C87" s="103" t="s">
        <v>96</v>
      </c>
      <c r="D87" s="384">
        <v>10.6</v>
      </c>
      <c r="E87" s="384">
        <v>21.2</v>
      </c>
      <c r="F87" s="384">
        <v>31.8</v>
      </c>
      <c r="G87" s="384">
        <v>42.4</v>
      </c>
      <c r="H87" s="384">
        <v>53</v>
      </c>
      <c r="I87" s="384">
        <v>63.6</v>
      </c>
      <c r="J87" s="384">
        <v>74.2</v>
      </c>
      <c r="K87" s="384">
        <v>84.8</v>
      </c>
      <c r="L87" s="384">
        <v>97.2</v>
      </c>
      <c r="M87" s="384">
        <v>107.8</v>
      </c>
      <c r="N87" s="384">
        <v>118.4</v>
      </c>
      <c r="O87" s="384">
        <v>129</v>
      </c>
      <c r="P87" s="430">
        <f t="shared" si="6"/>
        <v>10.6</v>
      </c>
      <c r="Q87" s="384">
        <f>CHOOSE(Mese,D87,E87,F87,G87,H87,I87,J87,K87,L87,M87,N87,O87)</f>
        <v>10.6</v>
      </c>
    </row>
    <row r="88" spans="1:17" x14ac:dyDescent="0.25">
      <c r="A88" s="92"/>
      <c r="B88" s="370"/>
      <c r="C88" s="98" t="s">
        <v>444</v>
      </c>
      <c r="D88" s="384"/>
      <c r="E88" s="384"/>
      <c r="F88" s="384"/>
      <c r="G88" s="384"/>
      <c r="H88" s="384"/>
      <c r="I88" s="384"/>
      <c r="J88" s="384"/>
      <c r="K88" s="384"/>
      <c r="L88" s="384"/>
      <c r="M88" s="384"/>
      <c r="N88" s="384"/>
      <c r="O88" s="384"/>
      <c r="P88" s="430">
        <f t="shared" si="6"/>
        <v>0</v>
      </c>
      <c r="Q88" s="384"/>
    </row>
    <row r="89" spans="1:17" x14ac:dyDescent="0.25">
      <c r="A89" s="92" t="s">
        <v>330</v>
      </c>
      <c r="B89" s="370" t="s">
        <v>224</v>
      </c>
      <c r="C89" s="103" t="s">
        <v>98</v>
      </c>
      <c r="D89" s="384">
        <v>84.6004004729798</v>
      </c>
      <c r="E89" s="384">
        <v>169.20517594595958</v>
      </c>
      <c r="F89" s="384">
        <v>253.81432641893937</v>
      </c>
      <c r="G89" s="384">
        <v>338.44285189191919</v>
      </c>
      <c r="H89" s="384">
        <v>423.07575236489902</v>
      </c>
      <c r="I89" s="384">
        <v>507.73386117121214</v>
      </c>
      <c r="J89" s="384">
        <v>592.41717831085862</v>
      </c>
      <c r="K89" s="384">
        <v>677.12570378383839</v>
      </c>
      <c r="L89" s="384">
        <v>761.85943759015151</v>
      </c>
      <c r="M89" s="384">
        <v>846.61837972979799</v>
      </c>
      <c r="N89" s="384">
        <v>931.40253020277783</v>
      </c>
      <c r="O89" s="384">
        <v>1016.1910556757576</v>
      </c>
      <c r="P89" s="430">
        <f t="shared" si="6"/>
        <v>84.6004004729798</v>
      </c>
      <c r="Q89" s="384">
        <f>CHOOSE(Mese,D89,E89,F89,G89,H89,I89,J89,K89,L89,M89,N89,O89)</f>
        <v>84.6004004729798</v>
      </c>
    </row>
    <row r="90" spans="1:17" x14ac:dyDescent="0.25">
      <c r="A90" s="92" t="s">
        <v>330</v>
      </c>
      <c r="B90" s="370" t="s">
        <v>225</v>
      </c>
      <c r="C90" s="103" t="s">
        <v>99</v>
      </c>
      <c r="D90" s="384">
        <v>78.090081211111098</v>
      </c>
      <c r="E90" s="384">
        <v>156.5943985333333</v>
      </c>
      <c r="F90" s="384">
        <v>235.18743113333329</v>
      </c>
      <c r="G90" s="384">
        <v>314.45355401111107</v>
      </c>
      <c r="H90" s="384">
        <v>394.13391299999995</v>
      </c>
      <c r="I90" s="384">
        <v>473.90298726666663</v>
      </c>
      <c r="J90" s="384">
        <v>553.7607768111111</v>
      </c>
      <c r="K90" s="384">
        <v>634.03280246666668</v>
      </c>
      <c r="L90" s="384">
        <v>714.3935434</v>
      </c>
      <c r="M90" s="384">
        <v>794.84299961111105</v>
      </c>
      <c r="N90" s="384">
        <v>875.70669193333333</v>
      </c>
      <c r="O90" s="384">
        <v>956.65909953333335</v>
      </c>
      <c r="P90" s="430">
        <f t="shared" si="6"/>
        <v>78.090081211111098</v>
      </c>
      <c r="Q90" s="384">
        <f>CHOOSE(Mese,D90,E90,F90,G90,H90,I90,J90,K90,L90,M90,N90,O90)</f>
        <v>78.090081211111098</v>
      </c>
    </row>
    <row r="91" spans="1:17" x14ac:dyDescent="0.25">
      <c r="A91" s="92" t="s">
        <v>330</v>
      </c>
      <c r="B91" s="370" t="s">
        <v>226</v>
      </c>
      <c r="C91" s="103" t="s">
        <v>445</v>
      </c>
      <c r="D91" s="384">
        <v>5.7214541666666658</v>
      </c>
      <c r="E91" s="384">
        <v>11.536241666666665</v>
      </c>
      <c r="F91" s="384">
        <v>17.397487499999997</v>
      </c>
      <c r="G91" s="384">
        <v>23.305191666666666</v>
      </c>
      <c r="H91" s="384">
        <v>29.306229166666665</v>
      </c>
      <c r="I91" s="384">
        <v>35.353724999999997</v>
      </c>
      <c r="J91" s="384">
        <v>41.44767916666666</v>
      </c>
      <c r="K91" s="384">
        <v>47.634966666666656</v>
      </c>
      <c r="L91" s="384">
        <v>53.868712499999987</v>
      </c>
      <c r="M91" s="384">
        <v>60.148916666666651</v>
      </c>
      <c r="N91" s="384">
        <v>66.522454166666648</v>
      </c>
      <c r="O91" s="384">
        <v>72.94244999999998</v>
      </c>
      <c r="P91" s="430">
        <f t="shared" si="6"/>
        <v>5.7214541666666658</v>
      </c>
      <c r="Q91" s="384">
        <f>CHOOSE(Mese,D91,E91,F91,G91,H91,I91,J91,K91,L91,M91,N91,O91)</f>
        <v>5.7214541666666658</v>
      </c>
    </row>
    <row r="92" spans="1:17" x14ac:dyDescent="0.25">
      <c r="A92" s="92"/>
      <c r="B92" s="370"/>
      <c r="C92" s="89" t="s">
        <v>446</v>
      </c>
      <c r="D92" s="384"/>
      <c r="E92" s="384"/>
      <c r="F92" s="384"/>
      <c r="G92" s="384"/>
      <c r="H92" s="384"/>
      <c r="I92" s="384"/>
      <c r="J92" s="384"/>
      <c r="K92" s="384"/>
      <c r="L92" s="384"/>
      <c r="M92" s="384"/>
      <c r="N92" s="384"/>
      <c r="O92" s="384"/>
      <c r="P92" s="430">
        <f t="shared" si="6"/>
        <v>0</v>
      </c>
      <c r="Q92" s="384"/>
    </row>
    <row r="93" spans="1:17" x14ac:dyDescent="0.25">
      <c r="A93" s="92" t="s">
        <v>227</v>
      </c>
      <c r="B93" s="370" t="s">
        <v>228</v>
      </c>
      <c r="C93" s="103" t="s">
        <v>450</v>
      </c>
      <c r="D93" s="384">
        <v>29.326530612244898</v>
      </c>
      <c r="E93" s="384">
        <v>58.653061224489797</v>
      </c>
      <c r="F93" s="384">
        <v>87.979591836734699</v>
      </c>
      <c r="G93" s="384">
        <v>117.30612244897959</v>
      </c>
      <c r="H93" s="384">
        <v>148.26530612244898</v>
      </c>
      <c r="I93" s="384">
        <v>179.22448979591837</v>
      </c>
      <c r="J93" s="384">
        <v>210.18367346938777</v>
      </c>
      <c r="K93" s="384">
        <v>242.44285714285718</v>
      </c>
      <c r="L93" s="384">
        <v>274.70204081632659</v>
      </c>
      <c r="M93" s="384">
        <v>306.961224489796</v>
      </c>
      <c r="N93" s="384">
        <v>339.2204081632654</v>
      </c>
      <c r="O93" s="384">
        <v>371.47959183673481</v>
      </c>
      <c r="P93" s="430">
        <f t="shared" si="6"/>
        <v>29.326530612244898</v>
      </c>
      <c r="Q93" s="384">
        <f>CHOOSE(Mese,D93,E93,F93,G93,H93,I93,J93,K93,L93,M93,N93,O93)</f>
        <v>29.326530612244898</v>
      </c>
    </row>
    <row r="94" spans="1:17" x14ac:dyDescent="0.25">
      <c r="A94" s="92" t="s">
        <v>227</v>
      </c>
      <c r="B94" s="370" t="s">
        <v>229</v>
      </c>
      <c r="C94" s="103" t="s">
        <v>449</v>
      </c>
      <c r="D94" s="384">
        <v>249.81666666666666</v>
      </c>
      <c r="E94" s="384">
        <v>521.26356806854653</v>
      </c>
      <c r="F94" s="384">
        <v>784.69612262566807</v>
      </c>
      <c r="G94" s="384">
        <v>950.18576718146733</v>
      </c>
      <c r="H94" s="384">
        <v>1108.3272645738341</v>
      </c>
      <c r="I94" s="384">
        <v>1259.4326506571012</v>
      </c>
      <c r="J94" s="384">
        <v>1405.9307108195696</v>
      </c>
      <c r="K94" s="384">
        <v>1545.9775426587505</v>
      </c>
      <c r="L94" s="384">
        <v>1679.84709476285</v>
      </c>
      <c r="M94" s="384">
        <v>1808.5016826131343</v>
      </c>
      <c r="N94" s="384">
        <v>1931.4924825787259</v>
      </c>
      <c r="O94" s="384">
        <v>2049.0600049341274</v>
      </c>
      <c r="P94" s="430">
        <f t="shared" si="6"/>
        <v>249.81666666666666</v>
      </c>
      <c r="Q94" s="384">
        <f>CHOOSE(Mese,D94,E94,F94,G94,H94,I94,J94,K94,L94,M94,N94,O94)</f>
        <v>249.81666666666666</v>
      </c>
    </row>
    <row r="95" spans="1:17" x14ac:dyDescent="0.25">
      <c r="A95" s="92" t="s">
        <v>227</v>
      </c>
      <c r="B95" s="370" t="s">
        <v>230</v>
      </c>
      <c r="C95" s="103" t="s">
        <v>451</v>
      </c>
      <c r="D95" s="384">
        <v>149.11258333333333</v>
      </c>
      <c r="E95" s="384">
        <v>298.22516666666667</v>
      </c>
      <c r="F95" s="384">
        <v>447.33775000000003</v>
      </c>
      <c r="G95" s="384">
        <v>596.45033333333333</v>
      </c>
      <c r="H95" s="384">
        <v>745.56291666666664</v>
      </c>
      <c r="I95" s="384">
        <v>894.67549999999994</v>
      </c>
      <c r="J95" s="384">
        <v>1043.7880833333334</v>
      </c>
      <c r="K95" s="384">
        <v>1192.9006666666667</v>
      </c>
      <c r="L95" s="384">
        <v>1342.01325</v>
      </c>
      <c r="M95" s="384">
        <v>1491.1258333333333</v>
      </c>
      <c r="N95" s="384">
        <v>1640.2384166666666</v>
      </c>
      <c r="O95" s="384">
        <v>1789.3509999999999</v>
      </c>
      <c r="P95" s="430">
        <f t="shared" si="6"/>
        <v>149.11258333333333</v>
      </c>
      <c r="Q95" s="384">
        <f>CHOOSE(Mese,D95,E95,F95,G95,H95,I95,J95,K95,L95,M95,N95,O95)</f>
        <v>149.11258333333333</v>
      </c>
    </row>
    <row r="96" spans="1:17" x14ac:dyDescent="0.25">
      <c r="A96" s="92" t="s">
        <v>330</v>
      </c>
      <c r="B96" s="370" t="s">
        <v>231</v>
      </c>
      <c r="C96" s="103" t="s">
        <v>448</v>
      </c>
      <c r="D96" s="384">
        <v>203.38923499999981</v>
      </c>
      <c r="E96" s="384">
        <v>409.76596999999964</v>
      </c>
      <c r="F96" s="384">
        <v>618.17603833333283</v>
      </c>
      <c r="G96" s="384">
        <v>828.21110666666596</v>
      </c>
      <c r="H96" s="384">
        <v>1040.0211749999992</v>
      </c>
      <c r="I96" s="384">
        <v>1254.7354099999989</v>
      </c>
      <c r="J96" s="384">
        <v>1471.0746449999988</v>
      </c>
      <c r="K96" s="384">
        <v>1689.0388799999987</v>
      </c>
      <c r="L96" s="384">
        <v>1909.9614483333319</v>
      </c>
      <c r="M96" s="384">
        <v>2133.5006833333318</v>
      </c>
      <c r="N96" s="384">
        <v>2358.8732516666651</v>
      </c>
      <c r="O96" s="384">
        <v>2587.420819999998</v>
      </c>
      <c r="P96" s="430">
        <f t="shared" si="6"/>
        <v>203.38923499999981</v>
      </c>
      <c r="Q96" s="384">
        <f>CHOOSE(Mese,D96,E96,F96,G96,H96,I96,J96,K96,L96,M96,N96,O96)</f>
        <v>203.38923499999981</v>
      </c>
    </row>
    <row r="97" spans="1:17" x14ac:dyDescent="0.25">
      <c r="A97" s="372" t="s">
        <v>330</v>
      </c>
      <c r="B97" s="101" t="s">
        <v>232</v>
      </c>
      <c r="C97" s="103" t="s">
        <v>447</v>
      </c>
      <c r="D97" s="384">
        <v>0</v>
      </c>
      <c r="E97" s="384">
        <v>0</v>
      </c>
      <c r="F97" s="384">
        <v>0</v>
      </c>
      <c r="G97" s="384">
        <v>0</v>
      </c>
      <c r="H97" s="384">
        <v>0</v>
      </c>
      <c r="I97" s="384">
        <v>0</v>
      </c>
      <c r="J97" s="384">
        <v>0</v>
      </c>
      <c r="K97" s="384">
        <v>0</v>
      </c>
      <c r="L97" s="384">
        <v>0</v>
      </c>
      <c r="M97" s="384">
        <v>0</v>
      </c>
      <c r="N97" s="384">
        <v>0</v>
      </c>
      <c r="O97" s="384">
        <v>0</v>
      </c>
      <c r="P97" s="430">
        <f t="shared" si="6"/>
        <v>0</v>
      </c>
      <c r="Q97" s="384">
        <f>CHOOSE(Mese,D97,E97,F97,G97,H97,I97,J97,K97,L97,M97,N97,O97)</f>
        <v>0</v>
      </c>
    </row>
    <row r="98" spans="1:17" x14ac:dyDescent="0.25">
      <c r="A98" s="92"/>
      <c r="B98" s="370"/>
      <c r="C98" s="89" t="s">
        <v>233</v>
      </c>
      <c r="D98" s="384"/>
      <c r="E98" s="384"/>
      <c r="F98" s="384"/>
      <c r="G98" s="384"/>
      <c r="H98" s="384"/>
      <c r="I98" s="384"/>
      <c r="J98" s="384"/>
      <c r="K98" s="384"/>
      <c r="L98" s="384"/>
      <c r="M98" s="384"/>
      <c r="N98" s="384"/>
      <c r="O98" s="384"/>
      <c r="P98" s="430">
        <f t="shared" si="6"/>
        <v>0</v>
      </c>
      <c r="Q98" s="384"/>
    </row>
    <row r="99" spans="1:17" x14ac:dyDescent="0.25">
      <c r="A99" s="92" t="s">
        <v>214</v>
      </c>
      <c r="B99" s="370" t="s">
        <v>235</v>
      </c>
      <c r="C99" s="102" t="s">
        <v>406</v>
      </c>
      <c r="D99" s="384">
        <v>8.0833333333333321</v>
      </c>
      <c r="E99" s="384">
        <v>16.166666666666664</v>
      </c>
      <c r="F99" s="384">
        <v>24.25</v>
      </c>
      <c r="G99" s="384">
        <v>32.333333333333329</v>
      </c>
      <c r="H99" s="384">
        <v>40.416666666666657</v>
      </c>
      <c r="I99" s="384">
        <v>48.5</v>
      </c>
      <c r="J99" s="384">
        <v>56.583333333333314</v>
      </c>
      <c r="K99" s="384">
        <v>64.666666666666643</v>
      </c>
      <c r="L99" s="384">
        <v>72.75</v>
      </c>
      <c r="M99" s="384">
        <v>80.8333333333333</v>
      </c>
      <c r="N99" s="384">
        <v>88.916666666666629</v>
      </c>
      <c r="O99" s="384">
        <v>97</v>
      </c>
      <c r="P99" s="430">
        <f t="shared" si="6"/>
        <v>8.0833333333333321</v>
      </c>
      <c r="Q99" s="384">
        <f>CHOOSE(Mese,D99,E99,F99,G99,H99,I99,J99,K99,L99,M99,N99,O99)</f>
        <v>8.0833333333333321</v>
      </c>
    </row>
    <row r="100" spans="1:17" x14ac:dyDescent="0.25">
      <c r="A100" s="92" t="s">
        <v>234</v>
      </c>
      <c r="B100" s="370" t="s">
        <v>236</v>
      </c>
      <c r="C100" s="102" t="s">
        <v>407</v>
      </c>
      <c r="D100" s="384">
        <v>-158.28896538189406</v>
      </c>
      <c r="E100" s="384">
        <v>-316.57793076378812</v>
      </c>
      <c r="F100" s="384">
        <v>-474.86689614568218</v>
      </c>
      <c r="G100" s="384">
        <v>-633.15586152757623</v>
      </c>
      <c r="H100" s="384">
        <v>-791.44482690947029</v>
      </c>
      <c r="I100" s="384">
        <v>-949.73379229136435</v>
      </c>
      <c r="J100" s="384">
        <v>-1108.0227576732584</v>
      </c>
      <c r="K100" s="384">
        <v>-1266.3117230551525</v>
      </c>
      <c r="L100" s="384">
        <v>-1424.6006884370465</v>
      </c>
      <c r="M100" s="384">
        <v>-1582.8896538189406</v>
      </c>
      <c r="N100" s="384">
        <v>-1741.1786192008346</v>
      </c>
      <c r="O100" s="384">
        <v>-1899.4675845827287</v>
      </c>
      <c r="P100" s="430">
        <f t="shared" ref="P100:P107" si="8">IF(Mese=1,Q100,Q100-CHOOSE(Mese-1,D100,E100,F100,G100,H100,I100,J100,K100,L100,M100,N100,O100))</f>
        <v>-158.28896538189406</v>
      </c>
      <c r="Q100" s="384">
        <f>CHOOSE(Mese,D100,E100,F100,G100,H100,I100,J100,K100,L100,M100,N100,O100)</f>
        <v>-158.28896538189406</v>
      </c>
    </row>
    <row r="101" spans="1:17" x14ac:dyDescent="0.25">
      <c r="A101" s="92"/>
      <c r="B101" s="370"/>
      <c r="C101" s="89" t="s">
        <v>237</v>
      </c>
      <c r="D101" s="384"/>
      <c r="E101" s="384"/>
      <c r="F101" s="384"/>
      <c r="G101" s="384"/>
      <c r="H101" s="384"/>
      <c r="I101" s="384"/>
      <c r="J101" s="384"/>
      <c r="K101" s="384"/>
      <c r="L101" s="384"/>
      <c r="M101" s="384"/>
      <c r="N101" s="384"/>
      <c r="O101" s="384"/>
      <c r="P101" s="430">
        <f t="shared" si="8"/>
        <v>0</v>
      </c>
      <c r="Q101" s="384"/>
    </row>
    <row r="102" spans="1:17" x14ac:dyDescent="0.25">
      <c r="A102" s="92" t="s">
        <v>331</v>
      </c>
      <c r="B102" s="370" t="s">
        <v>239</v>
      </c>
      <c r="C102" s="102" t="s">
        <v>240</v>
      </c>
      <c r="D102" s="384">
        <v>151.98202499999999</v>
      </c>
      <c r="E102" s="384">
        <v>303.96404999999999</v>
      </c>
      <c r="F102" s="384">
        <v>455.94607499999995</v>
      </c>
      <c r="G102" s="384">
        <v>607.92809999999997</v>
      </c>
      <c r="H102" s="384">
        <v>759.91012499999999</v>
      </c>
      <c r="I102" s="384">
        <v>911.89215000000002</v>
      </c>
      <c r="J102" s="384">
        <v>1063.8741749999999</v>
      </c>
      <c r="K102" s="384">
        <v>1215.8561999999999</v>
      </c>
      <c r="L102" s="384">
        <v>1367.838225</v>
      </c>
      <c r="M102" s="384">
        <v>1519.82025</v>
      </c>
      <c r="N102" s="384">
        <v>1671.802275</v>
      </c>
      <c r="O102" s="384">
        <v>1823.7843</v>
      </c>
      <c r="P102" s="430">
        <f t="shared" si="8"/>
        <v>151.98202499999999</v>
      </c>
      <c r="Q102" s="384">
        <f>CHOOSE(Mese,D102,E102,F102,G102,H102,I102,J102,K102,L102,M102,N102,O102)</f>
        <v>151.98202499999999</v>
      </c>
    </row>
    <row r="103" spans="1:17" x14ac:dyDescent="0.25">
      <c r="A103" s="92" t="s">
        <v>347</v>
      </c>
      <c r="B103" s="370" t="s">
        <v>241</v>
      </c>
      <c r="C103" s="102" t="s">
        <v>242</v>
      </c>
      <c r="D103" s="384">
        <v>14.1</v>
      </c>
      <c r="E103" s="384">
        <v>28.2</v>
      </c>
      <c r="F103" s="384">
        <v>42.3</v>
      </c>
      <c r="G103" s="384">
        <v>56.4</v>
      </c>
      <c r="H103" s="384">
        <v>70.5</v>
      </c>
      <c r="I103" s="384">
        <v>84.6</v>
      </c>
      <c r="J103" s="384">
        <v>98.7</v>
      </c>
      <c r="K103" s="384">
        <v>112.8</v>
      </c>
      <c r="L103" s="384">
        <v>126.9</v>
      </c>
      <c r="M103" s="384">
        <v>141</v>
      </c>
      <c r="N103" s="384">
        <v>155.1</v>
      </c>
      <c r="O103" s="384">
        <v>169.2</v>
      </c>
      <c r="P103" s="430">
        <f t="shared" si="8"/>
        <v>14.1</v>
      </c>
      <c r="Q103" s="384">
        <f>CHOOSE(Mese,D103,E103,F103,G103,H103,I103,J103,K103,L103,M103,N103,O103)</f>
        <v>14.1</v>
      </c>
    </row>
    <row r="104" spans="1:17" x14ac:dyDescent="0.25">
      <c r="A104" s="92" t="s">
        <v>238</v>
      </c>
      <c r="B104" s="370" t="s">
        <v>243</v>
      </c>
      <c r="C104" s="102" t="s">
        <v>244</v>
      </c>
      <c r="D104" s="384">
        <v>75.607244598911421</v>
      </c>
      <c r="E104" s="384">
        <v>196.2014457444858</v>
      </c>
      <c r="F104" s="384">
        <v>306.40745046151414</v>
      </c>
      <c r="G104" s="384">
        <v>356.30389116117141</v>
      </c>
      <c r="H104" s="384">
        <v>400.64129129147477</v>
      </c>
      <c r="I104" s="384">
        <v>439.79033837353575</v>
      </c>
      <c r="J104" s="384">
        <v>474.0653793815963</v>
      </c>
      <c r="K104" s="384">
        <v>503.17855258518762</v>
      </c>
      <c r="L104" s="384">
        <v>526.79801128667361</v>
      </c>
      <c r="M104" s="384">
        <v>530.17555322756743</v>
      </c>
      <c r="N104" s="384">
        <v>530.17555322756743</v>
      </c>
      <c r="O104" s="384">
        <v>530.17555322756743</v>
      </c>
      <c r="P104" s="430">
        <f t="shared" si="8"/>
        <v>75.607244598911421</v>
      </c>
      <c r="Q104" s="384">
        <f>CHOOSE(Mese,D104,E104,F104,G104,H104,I104,J104,K104,L104,M104,N104,O104)</f>
        <v>75.607244598911421</v>
      </c>
    </row>
    <row r="105" spans="1:17" x14ac:dyDescent="0.25">
      <c r="A105" s="92" t="s">
        <v>345</v>
      </c>
      <c r="B105" s="370" t="s">
        <v>245</v>
      </c>
      <c r="C105" s="102" t="s">
        <v>246</v>
      </c>
      <c r="D105" s="384">
        <v>0</v>
      </c>
      <c r="E105" s="384">
        <v>0</v>
      </c>
      <c r="F105" s="384">
        <v>0</v>
      </c>
      <c r="G105" s="384">
        <v>0</v>
      </c>
      <c r="H105" s="384">
        <v>0</v>
      </c>
      <c r="I105" s="384">
        <v>0</v>
      </c>
      <c r="J105" s="384">
        <v>0</v>
      </c>
      <c r="K105" s="384">
        <v>0</v>
      </c>
      <c r="L105" s="384">
        <v>0</v>
      </c>
      <c r="M105" s="384">
        <v>0</v>
      </c>
      <c r="N105" s="384">
        <v>0</v>
      </c>
      <c r="O105" s="384">
        <v>0</v>
      </c>
      <c r="P105" s="430">
        <f t="shared" si="8"/>
        <v>0</v>
      </c>
      <c r="Q105" s="384">
        <f>CHOOSE(Mese,D105,E105,F105,G105,H105,I105,J105,K105,L105,M105,N105,O105)</f>
        <v>0</v>
      </c>
    </row>
    <row r="106" spans="1:17" x14ac:dyDescent="0.25">
      <c r="A106" s="92"/>
      <c r="B106" s="370"/>
      <c r="C106" s="89" t="s">
        <v>247</v>
      </c>
      <c r="D106" s="384"/>
      <c r="E106" s="384"/>
      <c r="F106" s="384"/>
      <c r="G106" s="384"/>
      <c r="H106" s="384"/>
      <c r="I106" s="384"/>
      <c r="J106" s="384"/>
      <c r="K106" s="384"/>
      <c r="L106" s="384"/>
      <c r="M106" s="384"/>
      <c r="N106" s="384"/>
      <c r="O106" s="384"/>
      <c r="P106" s="430">
        <f t="shared" si="8"/>
        <v>0</v>
      </c>
      <c r="Q106" s="384"/>
    </row>
    <row r="107" spans="1:17" x14ac:dyDescent="0.25">
      <c r="A107" s="92" t="s">
        <v>248</v>
      </c>
      <c r="B107" s="92" t="s">
        <v>249</v>
      </c>
      <c r="C107" s="92" t="s">
        <v>247</v>
      </c>
      <c r="D107" s="384">
        <v>42.100046901250813</v>
      </c>
      <c r="E107" s="384">
        <v>62.24874356507059</v>
      </c>
      <c r="F107" s="384">
        <v>111.28460982439103</v>
      </c>
      <c r="G107" s="384">
        <v>152.99568799804987</v>
      </c>
      <c r="H107" s="384">
        <v>212.89708203373402</v>
      </c>
      <c r="I107" s="384">
        <v>316.75671557571093</v>
      </c>
      <c r="J107" s="384">
        <v>457.21068700028485</v>
      </c>
      <c r="K107" s="384">
        <v>661.73442645091575</v>
      </c>
      <c r="L107" s="384">
        <v>781.91668572508331</v>
      </c>
      <c r="M107" s="384">
        <v>916.28334679348745</v>
      </c>
      <c r="N107" s="384">
        <v>1058.4259329946335</v>
      </c>
      <c r="O107" s="384">
        <v>1265.5026521573402</v>
      </c>
      <c r="P107" s="430">
        <f t="shared" si="8"/>
        <v>42.100046901250813</v>
      </c>
      <c r="Q107" s="384">
        <f>CHOOSE(Mese,D107,E107,F107,G107,H107,I107,J107,K107,L107,M107,N107,O107)</f>
        <v>42.100046901250813</v>
      </c>
    </row>
    <row r="108" spans="1:17" s="428" customFormat="1" ht="13" x14ac:dyDescent="0.3">
      <c r="A108" s="379"/>
      <c r="B108" s="379"/>
      <c r="C108" s="379" t="s">
        <v>353</v>
      </c>
      <c r="D108" s="382"/>
      <c r="E108" s="382"/>
      <c r="F108" s="382"/>
      <c r="G108" s="382"/>
      <c r="H108" s="382"/>
      <c r="I108" s="382"/>
      <c r="J108" s="382"/>
      <c r="K108" s="382"/>
      <c r="L108" s="382"/>
      <c r="M108" s="382"/>
      <c r="N108" s="382"/>
      <c r="O108" s="382"/>
      <c r="P108" s="382"/>
      <c r="Q108" s="383"/>
    </row>
    <row r="109" spans="1:17" x14ac:dyDescent="0.25">
      <c r="A109" s="92" t="s">
        <v>250</v>
      </c>
      <c r="B109" s="92" t="s">
        <v>250</v>
      </c>
      <c r="C109" s="104" t="s">
        <v>45</v>
      </c>
      <c r="D109" s="384">
        <v>812.38105999999993</v>
      </c>
      <c r="E109" s="384">
        <v>812.38105999999993</v>
      </c>
      <c r="F109" s="384">
        <v>812.38105999999993</v>
      </c>
      <c r="G109" s="384">
        <v>812.38105999999993</v>
      </c>
      <c r="H109" s="384">
        <v>812.38105999999993</v>
      </c>
      <c r="I109" s="384">
        <v>812.38105999999993</v>
      </c>
      <c r="J109" s="384">
        <v>812.38105999999993</v>
      </c>
      <c r="K109" s="384">
        <v>812.38105999999993</v>
      </c>
      <c r="L109" s="384">
        <v>812.38105999999993</v>
      </c>
      <c r="M109" s="384">
        <v>812.38105999999993</v>
      </c>
      <c r="N109" s="384">
        <v>812.38105999999993</v>
      </c>
      <c r="O109" s="384">
        <v>812.38105999999993</v>
      </c>
      <c r="P109" s="384">
        <f t="shared" ref="P109:P141" si="9">CHOOSE(Mese,D109,E109,F109,G109,H109,I109,J109,K109,L109,M109,N109,O109)</f>
        <v>812.38105999999993</v>
      </c>
      <c r="Q109" s="384">
        <f t="shared" ref="Q109:Q115" si="10">CHOOSE(Mese,D109,E109,F109,G109,H109,I109,J109,K109,L109,M109,N109,O109)</f>
        <v>812.38105999999993</v>
      </c>
    </row>
    <row r="110" spans="1:17" x14ac:dyDescent="0.25">
      <c r="A110" s="92" t="s">
        <v>252</v>
      </c>
      <c r="B110" s="92" t="s">
        <v>252</v>
      </c>
      <c r="C110" s="105" t="s">
        <v>253</v>
      </c>
      <c r="D110" s="384">
        <v>23860.686418000001</v>
      </c>
      <c r="E110" s="384">
        <v>24385.252034554047</v>
      </c>
      <c r="F110" s="384">
        <v>24200.049953214049</v>
      </c>
      <c r="G110" s="384">
        <v>26025.233874622892</v>
      </c>
      <c r="H110" s="384">
        <v>25847.457526411956</v>
      </c>
      <c r="I110" s="384">
        <v>25173.376493558866</v>
      </c>
      <c r="J110" s="384">
        <v>24968.283587026304</v>
      </c>
      <c r="K110" s="384">
        <v>25735.847775684419</v>
      </c>
      <c r="L110" s="384">
        <v>26003.872511504604</v>
      </c>
      <c r="M110" s="384">
        <v>27013.947865864011</v>
      </c>
      <c r="N110" s="384">
        <v>27999.543759886419</v>
      </c>
      <c r="O110" s="384">
        <v>27495.043700347414</v>
      </c>
      <c r="P110" s="384">
        <f t="shared" si="9"/>
        <v>23860.686418000001</v>
      </c>
      <c r="Q110" s="384">
        <f t="shared" si="10"/>
        <v>23860.686418000001</v>
      </c>
    </row>
    <row r="111" spans="1:17" x14ac:dyDescent="0.25">
      <c r="A111" s="92" t="s">
        <v>254</v>
      </c>
      <c r="B111" s="92" t="s">
        <v>254</v>
      </c>
      <c r="C111" s="105" t="s">
        <v>255</v>
      </c>
      <c r="D111" s="384">
        <v>-2063.2759799999999</v>
      </c>
      <c r="E111" s="384">
        <v>-2130.94598</v>
      </c>
      <c r="F111" s="384">
        <v>-2198.61598</v>
      </c>
      <c r="G111" s="384">
        <v>-2273.2826466666666</v>
      </c>
      <c r="H111" s="384">
        <v>-2347.9493133333331</v>
      </c>
      <c r="I111" s="384">
        <v>-2422.6159799999996</v>
      </c>
      <c r="J111" s="384">
        <v>-2494.0126466666661</v>
      </c>
      <c r="K111" s="384">
        <v>-2565.4093133333326</v>
      </c>
      <c r="L111" s="384">
        <v>-2636.8059799999992</v>
      </c>
      <c r="M111" s="384">
        <v>-2716.1426466666658</v>
      </c>
      <c r="N111" s="384">
        <v>-2795.4793133333324</v>
      </c>
      <c r="O111" s="384">
        <v>-2874.8159799999989</v>
      </c>
      <c r="P111" s="384">
        <f t="shared" si="9"/>
        <v>-2063.2759799999999</v>
      </c>
      <c r="Q111" s="384">
        <f t="shared" si="10"/>
        <v>-2063.2759799999999</v>
      </c>
    </row>
    <row r="112" spans="1:17" x14ac:dyDescent="0.25">
      <c r="A112" s="92" t="s">
        <v>256</v>
      </c>
      <c r="B112" s="92" t="s">
        <v>256</v>
      </c>
      <c r="C112" s="105" t="s">
        <v>257</v>
      </c>
      <c r="D112" s="384">
        <v>4355.4149556109178</v>
      </c>
      <c r="E112" s="384">
        <v>4220.7076990343685</v>
      </c>
      <c r="F112" s="384">
        <v>4139.1768381430684</v>
      </c>
      <c r="G112" s="384">
        <v>3768.2028007113449</v>
      </c>
      <c r="H112" s="384">
        <v>3704.3090050024043</v>
      </c>
      <c r="I112" s="384">
        <v>3640.0245225222943</v>
      </c>
      <c r="J112" s="384">
        <v>3510.1486916688</v>
      </c>
      <c r="K112" s="384">
        <v>3404.9074813700872</v>
      </c>
      <c r="L112" s="384">
        <v>3441.2819909236509</v>
      </c>
      <c r="M112" s="384">
        <v>3478.5305683344191</v>
      </c>
      <c r="N112" s="384">
        <v>3357.1557899377794</v>
      </c>
      <c r="O112" s="384">
        <v>3270.1295113573046</v>
      </c>
      <c r="P112" s="384">
        <f t="shared" si="9"/>
        <v>4355.4149556109178</v>
      </c>
      <c r="Q112" s="384">
        <f t="shared" si="10"/>
        <v>4355.4149556109178</v>
      </c>
    </row>
    <row r="113" spans="1:17" x14ac:dyDescent="0.25">
      <c r="A113" s="92" t="s">
        <v>258</v>
      </c>
      <c r="B113" s="92" t="s">
        <v>258</v>
      </c>
      <c r="C113" s="105" t="s">
        <v>259</v>
      </c>
      <c r="D113" s="384">
        <v>460</v>
      </c>
      <c r="E113" s="384">
        <v>460</v>
      </c>
      <c r="F113" s="384">
        <v>460</v>
      </c>
      <c r="G113" s="384">
        <v>460</v>
      </c>
      <c r="H113" s="384">
        <v>460</v>
      </c>
      <c r="I113" s="384">
        <v>460</v>
      </c>
      <c r="J113" s="384">
        <v>460</v>
      </c>
      <c r="K113" s="384">
        <v>460</v>
      </c>
      <c r="L113" s="384">
        <v>460</v>
      </c>
      <c r="M113" s="384">
        <v>460</v>
      </c>
      <c r="N113" s="384">
        <v>460</v>
      </c>
      <c r="O113" s="384">
        <v>460</v>
      </c>
      <c r="P113" s="384">
        <f t="shared" si="9"/>
        <v>460</v>
      </c>
      <c r="Q113" s="384">
        <f t="shared" si="10"/>
        <v>460</v>
      </c>
    </row>
    <row r="114" spans="1:17" x14ac:dyDescent="0.25">
      <c r="A114" s="92" t="s">
        <v>260</v>
      </c>
      <c r="B114" s="92" t="s">
        <v>260</v>
      </c>
      <c r="C114" s="105" t="s">
        <v>261</v>
      </c>
      <c r="D114" s="384">
        <v>2300.6981949583032</v>
      </c>
      <c r="E114" s="384">
        <v>2422.5897199221822</v>
      </c>
      <c r="F114" s="384">
        <v>2546.7898038751532</v>
      </c>
      <c r="G114" s="384">
        <v>2335.7278784912683</v>
      </c>
      <c r="H114" s="384">
        <v>2467.9193043729124</v>
      </c>
      <c r="I114" s="384">
        <v>2437.1372845914102</v>
      </c>
      <c r="J114" s="384">
        <v>2573.9440176690473</v>
      </c>
      <c r="K114" s="384">
        <v>2434.2431451691446</v>
      </c>
      <c r="L114" s="384">
        <v>2575.6641507100931</v>
      </c>
      <c r="M114" s="384">
        <v>2330.4206671710072</v>
      </c>
      <c r="N114" s="384">
        <v>2476.4549104425864</v>
      </c>
      <c r="O114" s="384">
        <v>2725.6700575435339</v>
      </c>
      <c r="P114" s="384">
        <f t="shared" si="9"/>
        <v>2300.6981949583032</v>
      </c>
      <c r="Q114" s="384">
        <f t="shared" si="10"/>
        <v>2300.6981949583032</v>
      </c>
    </row>
    <row r="115" spans="1:17" x14ac:dyDescent="0.25">
      <c r="A115" s="92" t="s">
        <v>262</v>
      </c>
      <c r="B115" s="92" t="s">
        <v>262</v>
      </c>
      <c r="C115" s="105" t="s">
        <v>263</v>
      </c>
      <c r="D115" s="384">
        <v>0</v>
      </c>
      <c r="E115" s="384">
        <v>0</v>
      </c>
      <c r="F115" s="384">
        <v>0</v>
      </c>
      <c r="G115" s="384">
        <v>0</v>
      </c>
      <c r="H115" s="384">
        <v>0</v>
      </c>
      <c r="I115" s="384">
        <v>0</v>
      </c>
      <c r="J115" s="384">
        <v>0</v>
      </c>
      <c r="K115" s="384">
        <v>0</v>
      </c>
      <c r="L115" s="384">
        <v>0</v>
      </c>
      <c r="M115" s="384">
        <v>0</v>
      </c>
      <c r="N115" s="384">
        <v>0</v>
      </c>
      <c r="O115" s="384">
        <v>0</v>
      </c>
      <c r="P115" s="384">
        <f t="shared" si="9"/>
        <v>0</v>
      </c>
      <c r="Q115" s="384">
        <f t="shared" si="10"/>
        <v>0</v>
      </c>
    </row>
    <row r="116" spans="1:17" x14ac:dyDescent="0.25">
      <c r="A116" s="87"/>
      <c r="B116" s="92"/>
      <c r="C116" s="106" t="s">
        <v>264</v>
      </c>
      <c r="D116" s="384"/>
      <c r="E116" s="384"/>
      <c r="F116" s="384"/>
      <c r="G116" s="384"/>
      <c r="H116" s="384"/>
      <c r="I116" s="384"/>
      <c r="J116" s="384"/>
      <c r="K116" s="384"/>
      <c r="L116" s="384"/>
      <c r="M116" s="384"/>
      <c r="N116" s="384"/>
      <c r="O116" s="384"/>
      <c r="P116" s="384">
        <f t="shared" si="9"/>
        <v>0</v>
      </c>
      <c r="Q116" s="384"/>
    </row>
    <row r="117" spans="1:17" x14ac:dyDescent="0.25">
      <c r="A117" s="92" t="s">
        <v>265</v>
      </c>
      <c r="B117" s="92" t="s">
        <v>265</v>
      </c>
      <c r="C117" s="105" t="s">
        <v>266</v>
      </c>
      <c r="D117" s="384">
        <v>-8852.0852140655043</v>
      </c>
      <c r="E117" s="384">
        <v>-9554.5003544255633</v>
      </c>
      <c r="F117" s="384">
        <v>-7907.4299319900056</v>
      </c>
      <c r="G117" s="384">
        <v>-7309.2683072274658</v>
      </c>
      <c r="H117" s="384">
        <v>-7289.9526433232049</v>
      </c>
      <c r="I117" s="384">
        <v>-7698.5148649100101</v>
      </c>
      <c r="J117" s="384">
        <v>-6894.5538428895634</v>
      </c>
      <c r="K117" s="384">
        <v>-7340.7005580595833</v>
      </c>
      <c r="L117" s="384">
        <v>-7850.5661162539272</v>
      </c>
      <c r="M117" s="384">
        <v>-8612.5500507742145</v>
      </c>
      <c r="N117" s="384">
        <v>-8486.636771237565</v>
      </c>
      <c r="O117" s="384">
        <v>-7632.0993314504358</v>
      </c>
      <c r="P117" s="384">
        <f t="shared" si="9"/>
        <v>-8852.0852140655043</v>
      </c>
      <c r="Q117" s="384">
        <f t="shared" ref="Q117:Q122" si="11">CHOOSE(Mese,D117,E117,F117,G117,H117,I117,J117,K117,L117,M117,N117,O117)</f>
        <v>-8852.0852140655043</v>
      </c>
    </row>
    <row r="118" spans="1:17" x14ac:dyDescent="0.25">
      <c r="A118" s="92" t="s">
        <v>267</v>
      </c>
      <c r="B118" s="92" t="s">
        <v>267</v>
      </c>
      <c r="C118" s="105" t="s">
        <v>268</v>
      </c>
      <c r="D118" s="384">
        <v>-480.08006690125086</v>
      </c>
      <c r="E118" s="384">
        <v>-500.22876356507061</v>
      </c>
      <c r="F118" s="384">
        <v>-549.26462982439102</v>
      </c>
      <c r="G118" s="384">
        <v>-590.97570799804987</v>
      </c>
      <c r="H118" s="384">
        <v>-650.87710203373399</v>
      </c>
      <c r="I118" s="384">
        <v>-306.80961537571085</v>
      </c>
      <c r="J118" s="384">
        <v>-447.26358680028477</v>
      </c>
      <c r="K118" s="384">
        <v>-651.78732625091561</v>
      </c>
      <c r="L118" s="384">
        <v>-771.96958552508318</v>
      </c>
      <c r="M118" s="384">
        <v>-906.33624659348743</v>
      </c>
      <c r="N118" s="384">
        <v>-600.5517125946335</v>
      </c>
      <c r="O118" s="384">
        <v>-807.62843175734019</v>
      </c>
      <c r="P118" s="384">
        <f t="shared" si="9"/>
        <v>-480.08006690125086</v>
      </c>
      <c r="Q118" s="384">
        <f t="shared" si="11"/>
        <v>-480.08006690125086</v>
      </c>
    </row>
    <row r="119" spans="1:17" x14ac:dyDescent="0.25">
      <c r="A119" s="92" t="s">
        <v>269</v>
      </c>
      <c r="B119" s="92" t="s">
        <v>269</v>
      </c>
      <c r="C119" s="105" t="s">
        <v>270</v>
      </c>
      <c r="D119" s="384">
        <v>-697.09867153633797</v>
      </c>
      <c r="E119" s="384">
        <v>-718.95195489570108</v>
      </c>
      <c r="F119" s="384">
        <v>-711.6763011127473</v>
      </c>
      <c r="G119" s="384">
        <v>-767.17221168978574</v>
      </c>
      <c r="H119" s="384">
        <v>-776.47191231563784</v>
      </c>
      <c r="I119" s="384">
        <v>-685.63294310141873</v>
      </c>
      <c r="J119" s="384">
        <v>-669.47946546580829</v>
      </c>
      <c r="K119" s="384">
        <v>-554.02451228079315</v>
      </c>
      <c r="L119" s="384">
        <v>-793.62543784658692</v>
      </c>
      <c r="M119" s="384">
        <v>-793.62401242554552</v>
      </c>
      <c r="N119" s="384">
        <v>-792.50538753372643</v>
      </c>
      <c r="O119" s="384">
        <v>-672.90203504902888</v>
      </c>
      <c r="P119" s="384">
        <f t="shared" si="9"/>
        <v>-697.09867153633797</v>
      </c>
      <c r="Q119" s="384">
        <f t="shared" si="11"/>
        <v>-697.09867153633797</v>
      </c>
    </row>
    <row r="120" spans="1:17" x14ac:dyDescent="0.25">
      <c r="A120" s="92" t="s">
        <v>271</v>
      </c>
      <c r="B120" s="92" t="s">
        <v>271</v>
      </c>
      <c r="C120" s="105" t="s">
        <v>46</v>
      </c>
      <c r="D120" s="384">
        <v>-1877.3550898712049</v>
      </c>
      <c r="E120" s="384">
        <v>-1877.0639662311219</v>
      </c>
      <c r="F120" s="384">
        <v>-2074.7518276513292</v>
      </c>
      <c r="G120" s="384">
        <v>-2287.855219787381</v>
      </c>
      <c r="H120" s="384">
        <v>-2503.5418620972805</v>
      </c>
      <c r="I120" s="384">
        <v>-2693.9954574032299</v>
      </c>
      <c r="J120" s="384">
        <v>-1764.1628664784962</v>
      </c>
      <c r="K120" s="384">
        <v>-1918.058564334272</v>
      </c>
      <c r="L120" s="384">
        <v>-2138.5100748472128</v>
      </c>
      <c r="M120" s="384">
        <v>-2358.9611894098643</v>
      </c>
      <c r="N120" s="384">
        <v>-2579.1015748358996</v>
      </c>
      <c r="O120" s="384">
        <v>-1644.5154150455814</v>
      </c>
      <c r="P120" s="384">
        <f t="shared" si="9"/>
        <v>-1877.3550898712049</v>
      </c>
      <c r="Q120" s="384">
        <f t="shared" si="11"/>
        <v>-1877.3550898712049</v>
      </c>
    </row>
    <row r="121" spans="1:17" x14ac:dyDescent="0.25">
      <c r="A121" s="92" t="s">
        <v>272</v>
      </c>
      <c r="B121" s="92" t="s">
        <v>272</v>
      </c>
      <c r="C121" s="105" t="s">
        <v>47</v>
      </c>
      <c r="D121" s="384">
        <v>-7709.2100549088336</v>
      </c>
      <c r="E121" s="384">
        <v>-7667.2205035028373</v>
      </c>
      <c r="F121" s="384">
        <v>-8149.5800054086039</v>
      </c>
      <c r="G121" s="384">
        <v>-10133.641816134092</v>
      </c>
      <c r="H121" s="384">
        <v>-9562.3098542090065</v>
      </c>
      <c r="I121" s="384">
        <v>-9233.9878505101533</v>
      </c>
      <c r="J121" s="384">
        <v>-9291.8733710952929</v>
      </c>
      <c r="K121" s="384">
        <v>-9618.4942129906012</v>
      </c>
      <c r="L121" s="384">
        <v>-9324.50903815938</v>
      </c>
      <c r="M121" s="384">
        <v>-9293.8012103193687</v>
      </c>
      <c r="N121" s="384">
        <v>-9463.7307144850729</v>
      </c>
      <c r="O121" s="384">
        <v>-9479.5964486742396</v>
      </c>
      <c r="P121" s="384">
        <f t="shared" si="9"/>
        <v>-7709.2100549088336</v>
      </c>
      <c r="Q121" s="384">
        <f t="shared" si="11"/>
        <v>-7709.2100549088336</v>
      </c>
    </row>
    <row r="122" spans="1:17" x14ac:dyDescent="0.25">
      <c r="A122" s="92" t="s">
        <v>273</v>
      </c>
      <c r="B122" s="92" t="s">
        <v>273</v>
      </c>
      <c r="C122" s="105" t="s">
        <v>274</v>
      </c>
      <c r="D122" s="384">
        <v>-56.906320000000001</v>
      </c>
      <c r="E122" s="384">
        <v>-56.906320000000001</v>
      </c>
      <c r="F122" s="384">
        <v>-56.906320000000001</v>
      </c>
      <c r="G122" s="384">
        <v>-56.906320000000001</v>
      </c>
      <c r="H122" s="384">
        <v>-56.906320000000001</v>
      </c>
      <c r="I122" s="384">
        <v>-56.906320000000001</v>
      </c>
      <c r="J122" s="384">
        <v>-56.906320000000001</v>
      </c>
      <c r="K122" s="384">
        <v>-56.906320000000001</v>
      </c>
      <c r="L122" s="384">
        <v>-56.906320000000001</v>
      </c>
      <c r="M122" s="384">
        <v>-56.906320000000001</v>
      </c>
      <c r="N122" s="384">
        <v>-56.906320000000001</v>
      </c>
      <c r="O122" s="384">
        <v>-56.906320000000001</v>
      </c>
      <c r="P122" s="384">
        <f t="shared" si="9"/>
        <v>-56.906320000000001</v>
      </c>
      <c r="Q122" s="384">
        <f t="shared" si="11"/>
        <v>-56.906320000000001</v>
      </c>
    </row>
    <row r="123" spans="1:17" x14ac:dyDescent="0.25">
      <c r="A123" s="87"/>
      <c r="B123" s="92"/>
      <c r="C123" s="107" t="s">
        <v>275</v>
      </c>
      <c r="D123" s="384"/>
      <c r="E123" s="384"/>
      <c r="F123" s="384"/>
      <c r="G123" s="384"/>
      <c r="H123" s="384"/>
      <c r="I123" s="384"/>
      <c r="J123" s="384"/>
      <c r="K123" s="384"/>
      <c r="L123" s="384"/>
      <c r="M123" s="384"/>
      <c r="N123" s="384"/>
      <c r="O123" s="384"/>
      <c r="P123" s="384">
        <f t="shared" si="9"/>
        <v>0</v>
      </c>
      <c r="Q123" s="384"/>
    </row>
    <row r="124" spans="1:17" x14ac:dyDescent="0.25">
      <c r="A124" s="92" t="s">
        <v>276</v>
      </c>
      <c r="B124" s="92" t="s">
        <v>276</v>
      </c>
      <c r="C124" s="108" t="s">
        <v>49</v>
      </c>
      <c r="D124" s="384">
        <v>84006.417620949185</v>
      </c>
      <c r="E124" s="384">
        <v>84547.021661898369</v>
      </c>
      <c r="F124" s="384">
        <v>85057.250702847552</v>
      </c>
      <c r="G124" s="384">
        <v>85489.479743796735</v>
      </c>
      <c r="H124" s="384">
        <v>85941.083784745919</v>
      </c>
      <c r="I124" s="384">
        <v>86468.646159028431</v>
      </c>
      <c r="J124" s="384">
        <v>87508.875199977614</v>
      </c>
      <c r="K124" s="384">
        <v>88018.479240926798</v>
      </c>
      <c r="L124" s="384">
        <v>88607.541615209309</v>
      </c>
      <c r="M124" s="384">
        <v>89575.93732282515</v>
      </c>
      <c r="N124" s="384">
        <v>90113.70803044099</v>
      </c>
      <c r="O124" s="384">
        <v>90633.770404723502</v>
      </c>
      <c r="P124" s="384">
        <f t="shared" si="9"/>
        <v>84006.417620949185</v>
      </c>
      <c r="Q124" s="384">
        <f>CHOOSE(Mese,D124,E124,F124,G124,H124,I124,J124,K124,L124,M124,N124,O124)</f>
        <v>84006.417620949185</v>
      </c>
    </row>
    <row r="125" spans="1:17" x14ac:dyDescent="0.25">
      <c r="A125" s="92" t="s">
        <v>277</v>
      </c>
      <c r="B125" s="92" t="s">
        <v>277</v>
      </c>
      <c r="C125" s="108" t="s">
        <v>50</v>
      </c>
      <c r="D125" s="384">
        <v>-16015.744782612956</v>
      </c>
      <c r="E125" s="384">
        <v>-16618.337071281039</v>
      </c>
      <c r="F125" s="384">
        <v>-17229.57003441334</v>
      </c>
      <c r="G125" s="384">
        <v>-17849.86221367653</v>
      </c>
      <c r="H125" s="384">
        <v>-18478.986629903935</v>
      </c>
      <c r="I125" s="384">
        <v>-19117.487553928895</v>
      </c>
      <c r="J125" s="384">
        <v>-19775.483319084742</v>
      </c>
      <c r="K125" s="384">
        <v>-20444.981737871472</v>
      </c>
      <c r="L125" s="384">
        <v>-21124.266664455754</v>
      </c>
      <c r="M125" s="384">
        <v>-21822.629765504258</v>
      </c>
      <c r="N125" s="384">
        <v>-22530.026770183646</v>
      </c>
      <c r="O125" s="384">
        <v>-23247.189449327252</v>
      </c>
      <c r="P125" s="384">
        <f t="shared" si="9"/>
        <v>-16015.744782612956</v>
      </c>
      <c r="Q125" s="384">
        <f>CHOOSE(Mese,D125,E125,F125,G125,H125,I125,J125,K125,L125,M125,N125,O125)</f>
        <v>-16015.744782612956</v>
      </c>
    </row>
    <row r="126" spans="1:17" x14ac:dyDescent="0.25">
      <c r="A126" s="92" t="s">
        <v>278</v>
      </c>
      <c r="B126" s="92" t="s">
        <v>278</v>
      </c>
      <c r="C126" s="108" t="s">
        <v>51</v>
      </c>
      <c r="D126" s="384">
        <v>20191.462293333334</v>
      </c>
      <c r="E126" s="384">
        <v>20299.445626666668</v>
      </c>
      <c r="F126" s="384">
        <v>20531.428960000001</v>
      </c>
      <c r="G126" s="384">
        <v>20579.912293333335</v>
      </c>
      <c r="H126" s="384">
        <v>20664.395626666668</v>
      </c>
      <c r="I126" s="384">
        <v>20887.378960000002</v>
      </c>
      <c r="J126" s="384">
        <v>20931.528960000003</v>
      </c>
      <c r="K126" s="384">
        <v>20970.678960000005</v>
      </c>
      <c r="L126" s="384">
        <v>21142.328960000006</v>
      </c>
      <c r="M126" s="384">
        <v>21253.478960000008</v>
      </c>
      <c r="N126" s="384">
        <v>21267.628960000009</v>
      </c>
      <c r="O126" s="384">
        <v>21452.278960000011</v>
      </c>
      <c r="P126" s="384">
        <f t="shared" si="9"/>
        <v>20191.462293333334</v>
      </c>
      <c r="Q126" s="384">
        <f>CHOOSE(Mese,D126,E126,F126,G126,H126,I126,J126,K126,L126,M126,N126,O126)</f>
        <v>20191.462293333334</v>
      </c>
    </row>
    <row r="127" spans="1:17" x14ac:dyDescent="0.25">
      <c r="A127" s="92" t="s">
        <v>279</v>
      </c>
      <c r="B127" s="92" t="s">
        <v>279</v>
      </c>
      <c r="C127" s="108" t="s">
        <v>50</v>
      </c>
      <c r="D127" s="384">
        <v>-10370.867190768053</v>
      </c>
      <c r="E127" s="384">
        <v>-10691.999728268054</v>
      </c>
      <c r="F127" s="384">
        <v>-11016.73893243472</v>
      </c>
      <c r="G127" s="384">
        <v>-11341.67646993472</v>
      </c>
      <c r="H127" s="384">
        <v>-11667.512340768055</v>
      </c>
      <c r="I127" s="384">
        <v>-11996.554878268054</v>
      </c>
      <c r="J127" s="384">
        <v>-12326.212415768056</v>
      </c>
      <c r="K127" s="384">
        <v>-12656.068286601389</v>
      </c>
      <c r="L127" s="384">
        <v>-12991.247490768055</v>
      </c>
      <c r="M127" s="384">
        <v>-13327.533361601389</v>
      </c>
      <c r="N127" s="384">
        <v>-13664.017565768056</v>
      </c>
      <c r="O127" s="384">
        <v>-14003.541769934722</v>
      </c>
      <c r="P127" s="384">
        <f t="shared" si="9"/>
        <v>-10370.867190768053</v>
      </c>
      <c r="Q127" s="384">
        <f>CHOOSE(Mese,D127,E127,F127,G127,H127,I127,J127,K127,L127,M127,N127,O127)</f>
        <v>-10370.867190768053</v>
      </c>
    </row>
    <row r="128" spans="1:17" x14ac:dyDescent="0.25">
      <c r="A128" s="92" t="s">
        <v>280</v>
      </c>
      <c r="B128" s="92" t="s">
        <v>280</v>
      </c>
      <c r="C128" s="108" t="s">
        <v>52</v>
      </c>
      <c r="D128" s="384">
        <v>59.694250000000011</v>
      </c>
      <c r="E128" s="384">
        <v>59.694250000000011</v>
      </c>
      <c r="F128" s="384">
        <v>59.694250000000011</v>
      </c>
      <c r="G128" s="384">
        <v>59.694250000000011</v>
      </c>
      <c r="H128" s="384">
        <v>59.694250000000011</v>
      </c>
      <c r="I128" s="384">
        <v>59.694250000000011</v>
      </c>
      <c r="J128" s="384">
        <v>59.694250000000011</v>
      </c>
      <c r="K128" s="384">
        <v>59.694250000000011</v>
      </c>
      <c r="L128" s="384">
        <v>59.694250000000011</v>
      </c>
      <c r="M128" s="384">
        <v>59.694250000000011</v>
      </c>
      <c r="N128" s="384">
        <v>59.694250000000011</v>
      </c>
      <c r="O128" s="384">
        <v>59.694250000000011</v>
      </c>
      <c r="P128" s="384">
        <f t="shared" si="9"/>
        <v>59.694250000000011</v>
      </c>
      <c r="Q128" s="384">
        <f>CHOOSE(Mese,D128,E128,F128,G128,H128,I128,J128,K128,L128,M128,N128,O128)</f>
        <v>59.694250000000011</v>
      </c>
    </row>
    <row r="129" spans="1:17" x14ac:dyDescent="0.25">
      <c r="A129" s="87"/>
      <c r="B129" s="92"/>
      <c r="C129" s="109" t="s">
        <v>281</v>
      </c>
      <c r="D129" s="384"/>
      <c r="E129" s="384"/>
      <c r="F129" s="384"/>
      <c r="G129" s="384"/>
      <c r="H129" s="384"/>
      <c r="I129" s="384"/>
      <c r="J129" s="384"/>
      <c r="K129" s="384"/>
      <c r="L129" s="384"/>
      <c r="M129" s="384"/>
      <c r="N129" s="384"/>
      <c r="O129" s="384"/>
      <c r="P129" s="384">
        <f t="shared" si="9"/>
        <v>0</v>
      </c>
      <c r="Q129" s="384"/>
    </row>
    <row r="130" spans="1:17" x14ac:dyDescent="0.25">
      <c r="A130" s="87"/>
      <c r="B130" s="92"/>
      <c r="C130" s="110" t="s">
        <v>282</v>
      </c>
      <c r="D130" s="384"/>
      <c r="E130" s="384"/>
      <c r="F130" s="384"/>
      <c r="G130" s="384"/>
      <c r="H130" s="384"/>
      <c r="I130" s="384"/>
      <c r="J130" s="384"/>
      <c r="K130" s="384"/>
      <c r="L130" s="384"/>
      <c r="M130" s="384"/>
      <c r="N130" s="384"/>
      <c r="O130" s="384"/>
      <c r="P130" s="384">
        <f t="shared" si="9"/>
        <v>0</v>
      </c>
      <c r="Q130" s="384"/>
    </row>
    <row r="131" spans="1:17" x14ac:dyDescent="0.25">
      <c r="A131" s="92" t="s">
        <v>283</v>
      </c>
      <c r="B131" s="92" t="s">
        <v>283</v>
      </c>
      <c r="C131" s="105" t="s">
        <v>456</v>
      </c>
      <c r="D131" s="384">
        <v>-5645</v>
      </c>
      <c r="E131" s="384">
        <v>-5645</v>
      </c>
      <c r="F131" s="384">
        <v>-5483</v>
      </c>
      <c r="G131" s="384">
        <v>-5483</v>
      </c>
      <c r="H131" s="384">
        <v>-5483</v>
      </c>
      <c r="I131" s="384">
        <v>-5319</v>
      </c>
      <c r="J131" s="384">
        <v>-5319</v>
      </c>
      <c r="K131" s="384">
        <v>-5319</v>
      </c>
      <c r="L131" s="384">
        <v>-5153</v>
      </c>
      <c r="M131" s="384">
        <v>-5153</v>
      </c>
      <c r="N131" s="384">
        <v>-5153</v>
      </c>
      <c r="O131" s="384">
        <v>-4984</v>
      </c>
      <c r="P131" s="384">
        <f t="shared" si="9"/>
        <v>-5645</v>
      </c>
      <c r="Q131" s="384">
        <f>CHOOSE(Mese,D131,E131,F131,G131,H131,I131,J131,K131,L131,M131,N131,O131)</f>
        <v>-5645</v>
      </c>
    </row>
    <row r="132" spans="1:17" x14ac:dyDescent="0.25">
      <c r="A132" s="92" t="s">
        <v>285</v>
      </c>
      <c r="B132" s="92" t="s">
        <v>285</v>
      </c>
      <c r="C132" s="105" t="s">
        <v>286</v>
      </c>
      <c r="D132" s="384">
        <v>-1612.6231600694489</v>
      </c>
      <c r="E132" s="384">
        <v>-1656.9318269719845</v>
      </c>
      <c r="F132" s="384">
        <v>-1702.0572257356334</v>
      </c>
      <c r="G132" s="384">
        <v>-1747.6822748124757</v>
      </c>
      <c r="H132" s="384">
        <v>-1793.8228443041007</v>
      </c>
      <c r="I132" s="384">
        <v>-1839.7550934107162</v>
      </c>
      <c r="J132" s="384">
        <v>-1886.1255223858491</v>
      </c>
      <c r="K132" s="384">
        <v>-1932.220858114413</v>
      </c>
      <c r="L132" s="384">
        <v>-1978.8915532896067</v>
      </c>
      <c r="M132" s="384">
        <v>-2025.3487281519394</v>
      </c>
      <c r="N132" s="384">
        <v>-2071.5947584031469</v>
      </c>
      <c r="O132" s="384">
        <v>-2117.6296440432293</v>
      </c>
      <c r="P132" s="384">
        <f t="shared" si="9"/>
        <v>-1612.6231600694489</v>
      </c>
      <c r="Q132" s="384">
        <f>CHOOSE(Mese,D132,E132,F132,G132,H132,I132,J132,K132,L132,M132,N132,O132)</f>
        <v>-1612.6231600694489</v>
      </c>
    </row>
    <row r="133" spans="1:17" x14ac:dyDescent="0.25">
      <c r="A133" s="92" t="s">
        <v>287</v>
      </c>
      <c r="B133" s="92" t="s">
        <v>287</v>
      </c>
      <c r="C133" s="109" t="s">
        <v>54</v>
      </c>
      <c r="D133" s="384">
        <v>75507.813033804676</v>
      </c>
      <c r="E133" s="384">
        <v>75951.17787999897</v>
      </c>
      <c r="F133" s="384">
        <v>75258.876334191387</v>
      </c>
      <c r="G133" s="384">
        <v>76208.258082420478</v>
      </c>
      <c r="H133" s="384">
        <v>71509.908630378151</v>
      </c>
      <c r="I133" s="384">
        <v>72389.373028358474</v>
      </c>
      <c r="J133" s="384">
        <v>71261.079669232349</v>
      </c>
      <c r="K133" s="384">
        <v>72729.90751060989</v>
      </c>
      <c r="L133" s="384">
        <v>73402.754471867243</v>
      </c>
      <c r="M133" s="384">
        <v>73922.747395086073</v>
      </c>
      <c r="N133" s="384">
        <v>73663.689758253851</v>
      </c>
      <c r="O133" s="384">
        <v>73011.903663153891</v>
      </c>
      <c r="P133" s="384">
        <f t="shared" si="9"/>
        <v>75507.813033804676</v>
      </c>
      <c r="Q133" s="384">
        <f>CHOOSE(Mese,D133,E133,F133,G133,H133,I133,J133,K133,L133,M133,N133,O133)</f>
        <v>75507.813033804676</v>
      </c>
    </row>
    <row r="134" spans="1:17" x14ac:dyDescent="0.25">
      <c r="A134" s="87"/>
      <c r="B134" s="92"/>
      <c r="C134" s="109" t="s">
        <v>288</v>
      </c>
      <c r="D134" s="384">
        <v>0</v>
      </c>
      <c r="E134" s="384">
        <v>0</v>
      </c>
      <c r="F134" s="384">
        <v>0</v>
      </c>
      <c r="G134" s="384">
        <v>0</v>
      </c>
      <c r="H134" s="384">
        <v>0</v>
      </c>
      <c r="I134" s="384">
        <v>0</v>
      </c>
      <c r="J134" s="384">
        <v>0</v>
      </c>
      <c r="K134" s="384">
        <v>0</v>
      </c>
      <c r="L134" s="384">
        <v>0</v>
      </c>
      <c r="M134" s="384">
        <v>0</v>
      </c>
      <c r="N134" s="384">
        <v>0</v>
      </c>
      <c r="O134" s="384">
        <v>0</v>
      </c>
      <c r="P134" s="384">
        <f t="shared" si="9"/>
        <v>0</v>
      </c>
      <c r="Q134" s="384"/>
    </row>
    <row r="135" spans="1:17" x14ac:dyDescent="0.25">
      <c r="A135" s="92" t="s">
        <v>289</v>
      </c>
      <c r="B135" s="92" t="s">
        <v>289</v>
      </c>
      <c r="C135" s="108" t="s">
        <v>55</v>
      </c>
      <c r="D135" s="384">
        <v>-4100</v>
      </c>
      <c r="E135" s="384">
        <v>-4100</v>
      </c>
      <c r="F135" s="384">
        <v>-4100</v>
      </c>
      <c r="G135" s="384">
        <v>-4100</v>
      </c>
      <c r="H135" s="384">
        <v>-4100</v>
      </c>
      <c r="I135" s="384">
        <v>-4100</v>
      </c>
      <c r="J135" s="384">
        <v>-4100</v>
      </c>
      <c r="K135" s="384">
        <v>-4100</v>
      </c>
      <c r="L135" s="384">
        <v>-4100</v>
      </c>
      <c r="M135" s="384">
        <v>-4100</v>
      </c>
      <c r="N135" s="384">
        <v>-4100</v>
      </c>
      <c r="O135" s="384">
        <v>-4100</v>
      </c>
      <c r="P135" s="384">
        <f t="shared" si="9"/>
        <v>-4100</v>
      </c>
      <c r="Q135" s="384">
        <f>CHOOSE(Mese,D135,E135,F135,G135,H135,I135,J135,K135,L135,M135,N135,O135)</f>
        <v>-4100</v>
      </c>
    </row>
    <row r="136" spans="1:17" x14ac:dyDescent="0.25">
      <c r="A136" s="92" t="s">
        <v>290</v>
      </c>
      <c r="B136" s="92" t="s">
        <v>290</v>
      </c>
      <c r="C136" s="108" t="s">
        <v>56</v>
      </c>
      <c r="D136" s="384">
        <v>-281.92856999999998</v>
      </c>
      <c r="E136" s="384">
        <v>-281.92856999999998</v>
      </c>
      <c r="F136" s="384">
        <v>-281.92856999999998</v>
      </c>
      <c r="G136" s="384">
        <v>-281.92856999999998</v>
      </c>
      <c r="H136" s="384">
        <v>-281.92856999999998</v>
      </c>
      <c r="I136" s="384">
        <v>-281.92856999999998</v>
      </c>
      <c r="J136" s="384">
        <v>-281.92856999999998</v>
      </c>
      <c r="K136" s="384">
        <v>-281.92856999999998</v>
      </c>
      <c r="L136" s="384">
        <v>-281.92856999999998</v>
      </c>
      <c r="M136" s="384">
        <v>-281.92856999999998</v>
      </c>
      <c r="N136" s="384">
        <v>-281.92856999999998</v>
      </c>
      <c r="O136" s="384">
        <v>-281.92856999999998</v>
      </c>
      <c r="P136" s="384">
        <f t="shared" si="9"/>
        <v>-281.92856999999998</v>
      </c>
      <c r="Q136" s="384">
        <f>CHOOSE(Mese,D136,E136,F136,G136,H136,I136,J136,K136,L136,M136,N136,O136)</f>
        <v>-281.92856999999998</v>
      </c>
    </row>
    <row r="137" spans="1:17" x14ac:dyDescent="0.25">
      <c r="A137" s="92" t="s">
        <v>291</v>
      </c>
      <c r="B137" s="92" t="s">
        <v>291</v>
      </c>
      <c r="C137" s="108" t="s">
        <v>57</v>
      </c>
      <c r="D137" s="384">
        <v>-145346.44427000001</v>
      </c>
      <c r="E137" s="384">
        <v>-145346.44427000001</v>
      </c>
      <c r="F137" s="384">
        <v>-145346.44427000001</v>
      </c>
      <c r="G137" s="384">
        <v>-145346.44427000001</v>
      </c>
      <c r="H137" s="384">
        <v>-145346.44427000001</v>
      </c>
      <c r="I137" s="384">
        <v>-145346.44427000001</v>
      </c>
      <c r="J137" s="384">
        <v>-145346.44427000001</v>
      </c>
      <c r="K137" s="384">
        <v>-145346.44427000001</v>
      </c>
      <c r="L137" s="384">
        <v>-145346.44427000001</v>
      </c>
      <c r="M137" s="384">
        <v>-145346.44427000001</v>
      </c>
      <c r="N137" s="384">
        <v>-145346.44427000001</v>
      </c>
      <c r="O137" s="384">
        <v>-145346.44427000001</v>
      </c>
      <c r="P137" s="384">
        <f t="shared" si="9"/>
        <v>-145346.44427000001</v>
      </c>
      <c r="Q137" s="384">
        <f>CHOOSE(Mese,D137,E137,F137,G137,H137,I137,J137,K137,L137,M137,N137,O137)</f>
        <v>-145346.44427000001</v>
      </c>
    </row>
    <row r="138" spans="1:17" x14ac:dyDescent="0.25">
      <c r="A138" s="92" t="s">
        <v>292</v>
      </c>
      <c r="B138" s="92" t="s">
        <v>292</v>
      </c>
      <c r="C138" s="108" t="s">
        <v>58</v>
      </c>
      <c r="D138" s="384">
        <v>-5356.6517899999999</v>
      </c>
      <c r="E138" s="384">
        <v>-5356.6517899999999</v>
      </c>
      <c r="F138" s="384">
        <v>-5049.9072275126118</v>
      </c>
      <c r="G138" s="384">
        <v>-5049.9072275126118</v>
      </c>
      <c r="H138" s="384">
        <v>-49.907227512611826</v>
      </c>
      <c r="I138" s="384">
        <v>-49.907227512611826</v>
      </c>
      <c r="J138" s="384">
        <v>-49.907227512611826</v>
      </c>
      <c r="K138" s="384">
        <v>-49.907227512611826</v>
      </c>
      <c r="L138" s="384">
        <v>-49.907227512611826</v>
      </c>
      <c r="M138" s="384">
        <v>-49.907227512611826</v>
      </c>
      <c r="N138" s="384">
        <v>-49.907227512611826</v>
      </c>
      <c r="O138" s="384">
        <v>-49.907227512611826</v>
      </c>
      <c r="P138" s="384">
        <f t="shared" si="9"/>
        <v>-5356.6517899999999</v>
      </c>
      <c r="Q138" s="384">
        <f>CHOOSE(Mese,D138,E138,F138,G138,H138,I138,J138,K138,L138,M138,N138,O138)</f>
        <v>-5356.6517899999999</v>
      </c>
    </row>
    <row r="139" spans="1:17" x14ac:dyDescent="0.25">
      <c r="A139" s="92" t="s">
        <v>293</v>
      </c>
      <c r="B139" s="92" t="s">
        <v>293</v>
      </c>
      <c r="C139" s="108" t="s">
        <v>59</v>
      </c>
      <c r="D139" s="384">
        <v>-760.25543751261193</v>
      </c>
      <c r="E139" s="384">
        <v>-760.25543751261193</v>
      </c>
      <c r="F139" s="384">
        <v>-1067</v>
      </c>
      <c r="G139" s="384">
        <v>-1067</v>
      </c>
      <c r="H139" s="384">
        <v>-1067</v>
      </c>
      <c r="I139" s="384">
        <v>-1067</v>
      </c>
      <c r="J139" s="384">
        <v>-1067</v>
      </c>
      <c r="K139" s="384">
        <v>-1067</v>
      </c>
      <c r="L139" s="384">
        <v>-1067</v>
      </c>
      <c r="M139" s="384">
        <v>-1067</v>
      </c>
      <c r="N139" s="384">
        <v>-1067</v>
      </c>
      <c r="O139" s="384">
        <v>-1067</v>
      </c>
      <c r="P139" s="384">
        <f t="shared" si="9"/>
        <v>-760.25543751261193</v>
      </c>
      <c r="Q139" s="384">
        <f>CHOOSE(Mese,D139,E139,F139,G139,H139,I139,J139,K139,L139,M139,N139,O139)</f>
        <v>-760.25543751261193</v>
      </c>
    </row>
    <row r="140" spans="1:17" x14ac:dyDescent="0.25">
      <c r="A140" s="92" t="s">
        <v>294</v>
      </c>
      <c r="B140" s="92" t="s">
        <v>294</v>
      </c>
      <c r="C140" s="108" t="s">
        <v>60</v>
      </c>
      <c r="D140" s="384">
        <v>0</v>
      </c>
      <c r="E140" s="384">
        <v>0</v>
      </c>
      <c r="F140" s="384">
        <v>0</v>
      </c>
      <c r="G140" s="384">
        <v>0</v>
      </c>
      <c r="H140" s="384">
        <v>0</v>
      </c>
      <c r="I140" s="384">
        <v>0</v>
      </c>
      <c r="J140" s="384">
        <v>0</v>
      </c>
      <c r="K140" s="384">
        <v>0</v>
      </c>
      <c r="L140" s="384">
        <v>0</v>
      </c>
      <c r="M140" s="384">
        <v>0</v>
      </c>
      <c r="N140" s="384">
        <v>0</v>
      </c>
      <c r="O140" s="384">
        <v>0</v>
      </c>
      <c r="P140" s="384">
        <f t="shared" si="9"/>
        <v>0</v>
      </c>
      <c r="Q140" s="384"/>
    </row>
    <row r="141" spans="1:17" x14ac:dyDescent="0.25">
      <c r="A141" s="92" t="s">
        <v>295</v>
      </c>
      <c r="B141" s="92" t="s">
        <v>295</v>
      </c>
      <c r="C141" s="105" t="s">
        <v>61</v>
      </c>
      <c r="D141" s="384">
        <v>-398.096</v>
      </c>
      <c r="E141" s="384">
        <v>-398.096</v>
      </c>
      <c r="F141" s="384">
        <v>-398.096</v>
      </c>
      <c r="G141" s="384">
        <v>-398.096</v>
      </c>
      <c r="H141" s="384">
        <v>-398.096</v>
      </c>
      <c r="I141" s="384">
        <v>-398.096</v>
      </c>
      <c r="J141" s="384">
        <v>-398.096</v>
      </c>
      <c r="K141" s="384">
        <v>-398.096</v>
      </c>
      <c r="L141" s="384">
        <v>-398.096</v>
      </c>
      <c r="M141" s="384">
        <v>-398.096</v>
      </c>
      <c r="N141" s="384">
        <v>-398.096</v>
      </c>
      <c r="O141" s="384">
        <v>-398.096</v>
      </c>
      <c r="P141" s="384">
        <f t="shared" si="9"/>
        <v>-398.096</v>
      </c>
      <c r="Q141" s="384">
        <f>CHOOSE(Mese,D141,E141,F141,G141,H141,I141,J141,K141,L141,M141,N141,O141)</f>
        <v>-398.096</v>
      </c>
    </row>
    <row r="142" spans="1:17" x14ac:dyDescent="0.25">
      <c r="D142" s="429"/>
      <c r="E142" s="429"/>
      <c r="F142" s="429"/>
      <c r="G142" s="429"/>
      <c r="H142" s="429"/>
      <c r="I142" s="429"/>
      <c r="J142" s="429"/>
      <c r="K142" s="429"/>
      <c r="L142" s="429"/>
      <c r="M142" s="429"/>
      <c r="N142" s="429"/>
      <c r="O142" s="429"/>
    </row>
    <row r="143" spans="1:17" x14ac:dyDescent="0.25">
      <c r="C143" s="369" t="s">
        <v>418</v>
      </c>
      <c r="D143" s="430">
        <f>SUM(D4:D107)</f>
        <v>69.054771589792566</v>
      </c>
      <c r="E143" s="430">
        <f t="shared" ref="E143:O143" si="12">SUM(E4:E107)</f>
        <v>203.192604579386</v>
      </c>
      <c r="F143" s="430">
        <f t="shared" si="12"/>
        <v>257.31935381216044</v>
      </c>
      <c r="G143" s="430">
        <f t="shared" si="12"/>
        <v>345.80927206372274</v>
      </c>
      <c r="H143" s="430">
        <f t="shared" si="12"/>
        <v>387.55770222288868</v>
      </c>
      <c r="I143" s="430">
        <f t="shared" si="12"/>
        <v>286.62486636131234</v>
      </c>
      <c r="J143" s="430">
        <f t="shared" si="12"/>
        <v>82.513988573249321</v>
      </c>
      <c r="K143" s="430">
        <f t="shared" si="12"/>
        <v>-325.11166641097054</v>
      </c>
      <c r="L143" s="430">
        <f t="shared" si="12"/>
        <v>-441.84468155667912</v>
      </c>
      <c r="M143" s="430">
        <f t="shared" si="12"/>
        <v>-596.92849032133427</v>
      </c>
      <c r="N143" s="430">
        <f t="shared" si="12"/>
        <v>-773.32956307392988</v>
      </c>
      <c r="O143" s="430">
        <f t="shared" si="12"/>
        <v>-1156.6707143311921</v>
      </c>
    </row>
    <row r="144" spans="1:17" x14ac:dyDescent="0.25">
      <c r="C144" s="369" t="s">
        <v>422</v>
      </c>
      <c r="D144" s="430">
        <f>SUM(D108:D142)</f>
        <v>-69.054771589753273</v>
      </c>
      <c r="E144" s="430">
        <f t="shared" ref="E144:O144" si="13">SUM(E108:E142)</f>
        <v>-203.19260457937844</v>
      </c>
      <c r="F144" s="430">
        <f t="shared" si="13"/>
        <v>-257.31935381216817</v>
      </c>
      <c r="G144" s="430">
        <f t="shared" si="13"/>
        <v>-345.80927206371916</v>
      </c>
      <c r="H144" s="430">
        <f t="shared" si="13"/>
        <v>-387.55770222289493</v>
      </c>
      <c r="I144" s="430">
        <f t="shared" si="13"/>
        <v>-286.62486636132007</v>
      </c>
      <c r="J144" s="430">
        <f t="shared" si="13"/>
        <v>-82.513988573247389</v>
      </c>
      <c r="K144" s="430">
        <f t="shared" si="13"/>
        <v>325.11166641098907</v>
      </c>
      <c r="L144" s="430">
        <f t="shared" si="13"/>
        <v>441.8446815566881</v>
      </c>
      <c r="M144" s="430">
        <f t="shared" si="13"/>
        <v>596.92849032132881</v>
      </c>
      <c r="N144" s="430">
        <f t="shared" si="13"/>
        <v>773.3295630739326</v>
      </c>
      <c r="O144" s="430">
        <f t="shared" si="13"/>
        <v>1156.670714331211</v>
      </c>
    </row>
    <row r="145" spans="3:15" ht="13" x14ac:dyDescent="0.3">
      <c r="C145" s="369" t="s">
        <v>342</v>
      </c>
      <c r="D145" s="341">
        <f>SUM(D143:D144)</f>
        <v>3.929301328753354E-11</v>
      </c>
      <c r="E145" s="341">
        <f>SUM(E143:E144)</f>
        <v>7.560174708487466E-12</v>
      </c>
      <c r="F145" s="341">
        <f>SUM(F143:F144)</f>
        <v>-7.73070496506989E-12</v>
      </c>
      <c r="G145" s="341">
        <f>SUM(G143:G144)</f>
        <v>3.5811353882309049E-12</v>
      </c>
      <c r="H145" s="341">
        <f>SUM(H143:H144)</f>
        <v>-6.2527760746888816E-12</v>
      </c>
      <c r="I145" s="341">
        <f t="shared" ref="I145:O145" si="14">SUM(I143:I144)</f>
        <v>-7.73070496506989E-12</v>
      </c>
      <c r="J145" s="341">
        <f t="shared" si="14"/>
        <v>1.9326762412674725E-12</v>
      </c>
      <c r="K145" s="341">
        <f t="shared" si="14"/>
        <v>1.8530954548623413E-11</v>
      </c>
      <c r="L145" s="341">
        <f t="shared" si="14"/>
        <v>8.9812601800076663E-12</v>
      </c>
      <c r="M145" s="341">
        <f t="shared" si="14"/>
        <v>-5.4569682106375694E-12</v>
      </c>
      <c r="N145" s="341">
        <f t="shared" si="14"/>
        <v>2.7284841053187847E-12</v>
      </c>
      <c r="O145" s="341">
        <f t="shared" si="14"/>
        <v>1.8872015061788261E-11</v>
      </c>
    </row>
  </sheetData>
  <phoneticPr fontId="24" type="noConversion"/>
  <pageMargins left="0.75" right="0.75" top="0.3" bottom="0.28999999999999998" header="0.18" footer="0.17"/>
  <pageSetup paperSize="9" scale="74" orientation="portrait" r:id="rId1"/>
  <headerFooter alignWithMargins="0">
    <oddFooter>&amp;LOp.Hop Inc</oddFooter>
  </headerFooter>
  <rowBreaks count="2" manualBreakCount="2">
    <brk id="70" max="16" man="1"/>
    <brk id="1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3"/>
  <sheetViews>
    <sheetView showOutlineSymbols="0" zoomScale="85" workbookViewId="0">
      <pane xSplit="3" ySplit="3" topLeftCell="D4" activePane="bottomRight" state="frozen"/>
      <selection activeCell="D37" sqref="D37"/>
      <selection pane="topRight" activeCell="D37" sqref="D37"/>
      <selection pane="bottomLeft" activeCell="D37" sqref="D37"/>
      <selection pane="bottomRight" activeCell="O2" sqref="O2"/>
    </sheetView>
  </sheetViews>
  <sheetFormatPr defaultColWidth="9.1796875" defaultRowHeight="12.5" outlineLevelCol="1" x14ac:dyDescent="0.25"/>
  <cols>
    <col min="1" max="1" width="5.81640625" style="369" customWidth="1" outlineLevel="1"/>
    <col min="2" max="2" width="10.453125" style="369" customWidth="1"/>
    <col min="3" max="3" width="42.54296875" style="369" customWidth="1"/>
    <col min="4" max="4" width="11.26953125" style="369" customWidth="1" outlineLevel="1"/>
    <col min="5" max="5" width="9.7265625" style="369" bestFit="1" customWidth="1" outlineLevel="1"/>
    <col min="6" max="6" width="10.1796875" style="369" customWidth="1" outlineLevel="1"/>
    <col min="7" max="7" width="7.81640625" style="369" customWidth="1" outlineLevel="1"/>
    <col min="8" max="8" width="8.54296875" style="369" customWidth="1" outlineLevel="1"/>
    <col min="9" max="10" width="8.7265625" style="369" bestFit="1" customWidth="1" outlineLevel="1"/>
    <col min="11" max="15" width="7.81640625" style="369" customWidth="1" outlineLevel="1"/>
    <col min="16" max="16" width="11.54296875" style="430" bestFit="1" customWidth="1"/>
    <col min="17" max="17" width="10.1796875" style="430" customWidth="1"/>
    <col min="18" max="18" width="13.26953125" style="369" bestFit="1" customWidth="1"/>
    <col min="19" max="16384" width="9.1796875" style="369"/>
  </cols>
  <sheetData>
    <row r="1" spans="1:18" ht="13" x14ac:dyDescent="0.3">
      <c r="D1" s="111" t="s">
        <v>296</v>
      </c>
      <c r="E1" s="111" t="s">
        <v>296</v>
      </c>
      <c r="F1" s="111" t="s">
        <v>296</v>
      </c>
      <c r="G1" s="111" t="s">
        <v>296</v>
      </c>
      <c r="H1" s="111" t="s">
        <v>296</v>
      </c>
      <c r="I1" s="111" t="s">
        <v>296</v>
      </c>
      <c r="J1" s="111" t="s">
        <v>296</v>
      </c>
      <c r="K1" s="111" t="s">
        <v>296</v>
      </c>
      <c r="L1" s="111" t="s">
        <v>296</v>
      </c>
      <c r="M1" s="111" t="s">
        <v>296</v>
      </c>
      <c r="N1" s="111" t="s">
        <v>296</v>
      </c>
      <c r="O1" s="111" t="s">
        <v>296</v>
      </c>
      <c r="P1" s="200" t="s">
        <v>298</v>
      </c>
      <c r="Q1" s="200"/>
      <c r="R1" s="369" t="s">
        <v>383</v>
      </c>
    </row>
    <row r="2" spans="1:18" ht="13" x14ac:dyDescent="0.3">
      <c r="A2" s="208" t="s">
        <v>474</v>
      </c>
      <c r="B2" s="425" t="s">
        <v>475</v>
      </c>
      <c r="D2" s="112">
        <v>45688</v>
      </c>
      <c r="E2" s="112">
        <v>45716</v>
      </c>
      <c r="F2" s="112">
        <v>45747</v>
      </c>
      <c r="G2" s="112">
        <v>45777</v>
      </c>
      <c r="H2" s="112">
        <v>45808</v>
      </c>
      <c r="I2" s="112">
        <v>45838</v>
      </c>
      <c r="J2" s="112">
        <v>45869</v>
      </c>
      <c r="K2" s="112">
        <v>45900</v>
      </c>
      <c r="L2" s="112">
        <v>45930</v>
      </c>
      <c r="M2" s="112">
        <v>45961</v>
      </c>
      <c r="N2" s="112">
        <v>45991</v>
      </c>
      <c r="O2" s="112">
        <v>46022</v>
      </c>
      <c r="P2" s="201" t="s">
        <v>297</v>
      </c>
      <c r="Q2" s="201" t="s">
        <v>296</v>
      </c>
      <c r="R2" s="369" t="s">
        <v>455</v>
      </c>
    </row>
    <row r="3" spans="1:18" ht="13" x14ac:dyDescent="0.3">
      <c r="B3" s="88"/>
      <c r="C3" s="89" t="s">
        <v>159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8" x14ac:dyDescent="0.25">
      <c r="A4" s="92" t="s">
        <v>160</v>
      </c>
      <c r="B4" s="90" t="s">
        <v>160</v>
      </c>
      <c r="C4" s="91" t="s">
        <v>159</v>
      </c>
      <c r="D4" s="430">
        <v>-3408.2393099999999</v>
      </c>
      <c r="E4" s="430">
        <v>-8608.31</v>
      </c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>
        <f t="shared" ref="P4:P35" si="0">IF(Mese=1,Q4,Q4-CHOOSE(Mese-1,D4,E4,F4,G4,H4,I4,J4,K4,L4,M4,N4,O4))</f>
        <v>-3408.2393099999999</v>
      </c>
      <c r="Q4" s="430">
        <f t="shared" ref="Q4:Q35" si="1">CHOOSE(Mese,D4,E4,F4,G4,H4,I4,J4,K4,L4,M4,N4,O4)</f>
        <v>-3408.2393099999999</v>
      </c>
      <c r="R4" s="430">
        <f>Q4-P4</f>
        <v>0</v>
      </c>
    </row>
    <row r="5" spans="1:18" x14ac:dyDescent="0.25">
      <c r="A5" s="92"/>
      <c r="B5" s="370"/>
      <c r="C5" s="89" t="s">
        <v>161</v>
      </c>
      <c r="F5" s="430"/>
      <c r="G5" s="430"/>
      <c r="H5" s="430"/>
      <c r="P5" s="430">
        <f t="shared" si="0"/>
        <v>0</v>
      </c>
      <c r="Q5" s="430">
        <f t="shared" si="1"/>
        <v>0</v>
      </c>
      <c r="R5" s="430">
        <f t="shared" ref="R5:R68" si="2">Q5-P5</f>
        <v>0</v>
      </c>
    </row>
    <row r="6" spans="1:18" x14ac:dyDescent="0.25">
      <c r="A6" s="92" t="s">
        <v>333</v>
      </c>
      <c r="B6" s="93" t="s">
        <v>372</v>
      </c>
      <c r="C6" s="94" t="s">
        <v>102</v>
      </c>
      <c r="D6" s="430">
        <v>1048.5089300000002</v>
      </c>
      <c r="E6" s="430">
        <v>2113</v>
      </c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>
        <f t="shared" si="0"/>
        <v>1048.5089300000002</v>
      </c>
      <c r="Q6" s="430">
        <f t="shared" si="1"/>
        <v>1048.5089300000002</v>
      </c>
      <c r="R6" s="430">
        <f t="shared" si="2"/>
        <v>0</v>
      </c>
    </row>
    <row r="7" spans="1:18" x14ac:dyDescent="0.25">
      <c r="A7" s="92" t="s">
        <v>333</v>
      </c>
      <c r="B7" s="93" t="s">
        <v>379</v>
      </c>
      <c r="C7" s="94" t="s">
        <v>384</v>
      </c>
      <c r="D7" s="430">
        <v>0</v>
      </c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>
        <f t="shared" si="0"/>
        <v>0</v>
      </c>
      <c r="Q7" s="430">
        <f t="shared" si="1"/>
        <v>0</v>
      </c>
      <c r="R7" s="430">
        <f t="shared" si="2"/>
        <v>0</v>
      </c>
    </row>
    <row r="8" spans="1:18" x14ac:dyDescent="0.25">
      <c r="A8" s="92" t="s">
        <v>333</v>
      </c>
      <c r="B8" s="93" t="s">
        <v>373</v>
      </c>
      <c r="C8" s="94" t="s">
        <v>103</v>
      </c>
      <c r="D8" s="430">
        <v>0</v>
      </c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>
        <f t="shared" si="0"/>
        <v>0</v>
      </c>
      <c r="Q8" s="430">
        <f t="shared" si="1"/>
        <v>0</v>
      </c>
      <c r="R8" s="430">
        <f t="shared" si="2"/>
        <v>0</v>
      </c>
    </row>
    <row r="9" spans="1:18" x14ac:dyDescent="0.25">
      <c r="A9" s="92" t="s">
        <v>162</v>
      </c>
      <c r="B9" s="93" t="s">
        <v>374</v>
      </c>
      <c r="C9" s="371" t="s">
        <v>385</v>
      </c>
      <c r="D9" s="430">
        <v>47.969459999999991</v>
      </c>
      <c r="E9" s="430">
        <v>126</v>
      </c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>
        <f t="shared" si="0"/>
        <v>47.969459999999991</v>
      </c>
      <c r="Q9" s="430">
        <f t="shared" si="1"/>
        <v>47.969459999999991</v>
      </c>
      <c r="R9" s="430">
        <f t="shared" si="2"/>
        <v>0</v>
      </c>
    </row>
    <row r="10" spans="1:18" x14ac:dyDescent="0.25">
      <c r="A10" s="92"/>
      <c r="B10" s="95"/>
      <c r="C10" s="96" t="s">
        <v>105</v>
      </c>
      <c r="D10" s="384">
        <v>0</v>
      </c>
      <c r="E10" s="430">
        <v>0</v>
      </c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>
        <f t="shared" si="0"/>
        <v>0</v>
      </c>
      <c r="Q10" s="430">
        <f t="shared" si="1"/>
        <v>0</v>
      </c>
      <c r="R10" s="430">
        <f t="shared" si="2"/>
        <v>0</v>
      </c>
    </row>
    <row r="11" spans="1:18" x14ac:dyDescent="0.25">
      <c r="A11" s="92" t="s">
        <v>334</v>
      </c>
      <c r="B11" s="93" t="s">
        <v>375</v>
      </c>
      <c r="C11" s="94" t="s">
        <v>106</v>
      </c>
      <c r="D11" s="430">
        <v>11.025919999999999</v>
      </c>
      <c r="E11" s="430">
        <v>40</v>
      </c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>
        <f t="shared" si="0"/>
        <v>11.025919999999999</v>
      </c>
      <c r="Q11" s="430">
        <f t="shared" si="1"/>
        <v>11.025919999999999</v>
      </c>
      <c r="R11" s="430">
        <f t="shared" si="2"/>
        <v>0</v>
      </c>
    </row>
    <row r="12" spans="1:18" x14ac:dyDescent="0.25">
      <c r="A12" s="92" t="s">
        <v>334</v>
      </c>
      <c r="B12" s="93" t="s">
        <v>376</v>
      </c>
      <c r="C12" s="94" t="s">
        <v>107</v>
      </c>
      <c r="D12" s="430">
        <v>31.943369999999998</v>
      </c>
      <c r="E12" s="430">
        <v>75</v>
      </c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430">
        <f t="shared" si="0"/>
        <v>31.943369999999998</v>
      </c>
      <c r="Q12" s="430">
        <f t="shared" si="1"/>
        <v>31.943369999999998</v>
      </c>
      <c r="R12" s="430">
        <f t="shared" si="2"/>
        <v>0</v>
      </c>
    </row>
    <row r="13" spans="1:18" x14ac:dyDescent="0.25">
      <c r="A13" s="92" t="s">
        <v>334</v>
      </c>
      <c r="B13" s="93" t="s">
        <v>377</v>
      </c>
      <c r="C13" s="94" t="s">
        <v>108</v>
      </c>
      <c r="D13" s="430">
        <v>55.92192</v>
      </c>
      <c r="E13" s="430">
        <v>135</v>
      </c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>
        <f t="shared" si="0"/>
        <v>55.92192</v>
      </c>
      <c r="Q13" s="430">
        <f t="shared" si="1"/>
        <v>55.92192</v>
      </c>
      <c r="R13" s="430">
        <f t="shared" si="2"/>
        <v>0</v>
      </c>
    </row>
    <row r="14" spans="1:18" x14ac:dyDescent="0.25">
      <c r="A14" s="92" t="s">
        <v>334</v>
      </c>
      <c r="B14" s="93" t="s">
        <v>378</v>
      </c>
      <c r="C14" s="94" t="s">
        <v>386</v>
      </c>
      <c r="D14" s="430">
        <v>0.15</v>
      </c>
      <c r="E14" s="430">
        <v>0</v>
      </c>
      <c r="F14" s="430"/>
      <c r="G14" s="430"/>
      <c r="H14" s="430"/>
      <c r="I14" s="430"/>
      <c r="J14" s="430"/>
      <c r="K14" s="430"/>
      <c r="L14" s="430"/>
      <c r="M14" s="430"/>
      <c r="N14" s="430"/>
      <c r="O14" s="430"/>
      <c r="P14" s="430">
        <f t="shared" si="0"/>
        <v>0.15</v>
      </c>
      <c r="Q14" s="430">
        <f t="shared" si="1"/>
        <v>0.15</v>
      </c>
      <c r="R14" s="430">
        <f t="shared" si="2"/>
        <v>0</v>
      </c>
    </row>
    <row r="15" spans="1:18" x14ac:dyDescent="0.25">
      <c r="A15" s="92" t="s">
        <v>334</v>
      </c>
      <c r="B15" s="93" t="s">
        <v>380</v>
      </c>
      <c r="C15" s="94" t="s">
        <v>109</v>
      </c>
      <c r="D15" s="430">
        <v>0</v>
      </c>
      <c r="E15" s="430">
        <v>0</v>
      </c>
      <c r="F15" s="430"/>
      <c r="G15" s="430"/>
      <c r="H15" s="430"/>
      <c r="I15" s="430"/>
      <c r="J15" s="430"/>
      <c r="K15" s="430"/>
      <c r="L15" s="430"/>
      <c r="M15" s="430"/>
      <c r="N15" s="430"/>
      <c r="O15" s="430"/>
      <c r="P15" s="430">
        <f t="shared" si="0"/>
        <v>0</v>
      </c>
      <c r="Q15" s="430">
        <f t="shared" si="1"/>
        <v>0</v>
      </c>
      <c r="R15" s="430">
        <f t="shared" si="2"/>
        <v>0</v>
      </c>
    </row>
    <row r="16" spans="1:18" x14ac:dyDescent="0.25">
      <c r="A16" s="92" t="s">
        <v>334</v>
      </c>
      <c r="B16" s="93" t="s">
        <v>163</v>
      </c>
      <c r="C16" s="94" t="s">
        <v>387</v>
      </c>
      <c r="D16" s="430">
        <v>4.1604199999999985</v>
      </c>
      <c r="E16" s="430">
        <v>10</v>
      </c>
      <c r="F16" s="430"/>
      <c r="G16" s="430"/>
      <c r="H16" s="430"/>
      <c r="I16" s="430"/>
      <c r="J16" s="430"/>
      <c r="K16" s="430"/>
      <c r="L16" s="430"/>
      <c r="M16" s="430"/>
      <c r="N16" s="430"/>
      <c r="O16" s="430"/>
      <c r="P16" s="430">
        <f t="shared" si="0"/>
        <v>4.1604199999999985</v>
      </c>
      <c r="Q16" s="430">
        <f t="shared" si="1"/>
        <v>4.1604199999999985</v>
      </c>
      <c r="R16" s="430">
        <f t="shared" si="2"/>
        <v>0</v>
      </c>
    </row>
    <row r="17" spans="1:18" x14ac:dyDescent="0.25">
      <c r="A17" s="92" t="s">
        <v>334</v>
      </c>
      <c r="B17" s="93" t="s">
        <v>164</v>
      </c>
      <c r="C17" s="94" t="s">
        <v>388</v>
      </c>
      <c r="D17" s="430">
        <v>0</v>
      </c>
      <c r="E17" s="430">
        <v>0</v>
      </c>
      <c r="F17" s="430"/>
      <c r="G17" s="430"/>
      <c r="H17" s="430"/>
      <c r="I17" s="430"/>
      <c r="J17" s="430"/>
      <c r="K17" s="430"/>
      <c r="L17" s="430"/>
      <c r="M17" s="430"/>
      <c r="N17" s="430"/>
      <c r="O17" s="430"/>
      <c r="P17" s="430">
        <f t="shared" si="0"/>
        <v>0</v>
      </c>
      <c r="Q17" s="430">
        <f t="shared" si="1"/>
        <v>0</v>
      </c>
      <c r="R17" s="430">
        <f t="shared" si="2"/>
        <v>0</v>
      </c>
    </row>
    <row r="18" spans="1:18" x14ac:dyDescent="0.25">
      <c r="A18" s="92"/>
      <c r="B18" s="97"/>
      <c r="C18" s="96" t="s">
        <v>113</v>
      </c>
      <c r="D18" s="430">
        <v>0</v>
      </c>
      <c r="E18" s="430">
        <v>0</v>
      </c>
      <c r="F18" s="430"/>
      <c r="G18" s="430"/>
      <c r="H18" s="430"/>
      <c r="I18" s="430"/>
      <c r="J18" s="430"/>
      <c r="K18" s="430"/>
      <c r="L18" s="430"/>
      <c r="M18" s="430"/>
      <c r="N18" s="430"/>
      <c r="O18" s="430"/>
      <c r="P18" s="430">
        <f t="shared" si="0"/>
        <v>0</v>
      </c>
      <c r="Q18" s="430">
        <f t="shared" si="1"/>
        <v>0</v>
      </c>
      <c r="R18" s="430">
        <f t="shared" si="2"/>
        <v>0</v>
      </c>
    </row>
    <row r="19" spans="1:18" x14ac:dyDescent="0.25">
      <c r="A19" s="92" t="s">
        <v>335</v>
      </c>
      <c r="B19" s="93" t="s">
        <v>165</v>
      </c>
      <c r="C19" s="94" t="s">
        <v>114</v>
      </c>
      <c r="D19" s="430">
        <v>3.764369999999996</v>
      </c>
      <c r="E19" s="430">
        <v>6</v>
      </c>
      <c r="F19" s="430"/>
      <c r="G19" s="430"/>
      <c r="H19" s="430"/>
      <c r="I19" s="430"/>
      <c r="J19" s="430"/>
      <c r="K19" s="430"/>
      <c r="L19" s="430"/>
      <c r="M19" s="430"/>
      <c r="N19" s="430"/>
      <c r="O19" s="430"/>
      <c r="P19" s="430">
        <f t="shared" si="0"/>
        <v>3.764369999999996</v>
      </c>
      <c r="Q19" s="430">
        <f t="shared" si="1"/>
        <v>3.764369999999996</v>
      </c>
      <c r="R19" s="430">
        <f t="shared" si="2"/>
        <v>0</v>
      </c>
    </row>
    <row r="20" spans="1:18" x14ac:dyDescent="0.25">
      <c r="A20" s="92" t="s">
        <v>335</v>
      </c>
      <c r="B20" s="93" t="s">
        <v>166</v>
      </c>
      <c r="C20" s="94" t="s">
        <v>115</v>
      </c>
      <c r="D20" s="430">
        <v>4</v>
      </c>
      <c r="E20" s="430">
        <v>4</v>
      </c>
      <c r="F20" s="430"/>
      <c r="G20" s="430"/>
      <c r="H20" s="430"/>
      <c r="I20" s="430"/>
      <c r="J20" s="430"/>
      <c r="K20" s="430"/>
      <c r="L20" s="430"/>
      <c r="M20" s="430"/>
      <c r="N20" s="430"/>
      <c r="O20" s="430"/>
      <c r="P20" s="430">
        <f t="shared" si="0"/>
        <v>4</v>
      </c>
      <c r="Q20" s="430">
        <f t="shared" si="1"/>
        <v>4</v>
      </c>
      <c r="R20" s="430">
        <f t="shared" si="2"/>
        <v>0</v>
      </c>
    </row>
    <row r="21" spans="1:18" x14ac:dyDescent="0.25">
      <c r="A21" s="92" t="s">
        <v>335</v>
      </c>
      <c r="B21" s="93" t="s">
        <v>167</v>
      </c>
      <c r="C21" s="94" t="s">
        <v>116</v>
      </c>
      <c r="D21" s="430">
        <v>0</v>
      </c>
      <c r="E21" s="430"/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P21" s="430">
        <f t="shared" si="0"/>
        <v>0</v>
      </c>
      <c r="Q21" s="430">
        <f t="shared" si="1"/>
        <v>0</v>
      </c>
      <c r="R21" s="430">
        <f t="shared" si="2"/>
        <v>0</v>
      </c>
    </row>
    <row r="22" spans="1:18" x14ac:dyDescent="0.25">
      <c r="A22" s="92" t="s">
        <v>335</v>
      </c>
      <c r="B22" s="93" t="s">
        <v>168</v>
      </c>
      <c r="C22" s="94" t="s">
        <v>117</v>
      </c>
      <c r="D22" s="430">
        <v>0</v>
      </c>
      <c r="E22" s="430"/>
      <c r="F22" s="430"/>
      <c r="G22" s="430"/>
      <c r="H22" s="430"/>
      <c r="I22" s="430"/>
      <c r="J22" s="430"/>
      <c r="K22" s="430"/>
      <c r="L22" s="430"/>
      <c r="M22" s="430"/>
      <c r="N22" s="430"/>
      <c r="O22" s="430"/>
      <c r="P22" s="430">
        <f t="shared" si="0"/>
        <v>0</v>
      </c>
      <c r="Q22" s="430">
        <f t="shared" si="1"/>
        <v>0</v>
      </c>
      <c r="R22" s="430">
        <f t="shared" si="2"/>
        <v>0</v>
      </c>
    </row>
    <row r="23" spans="1:18" x14ac:dyDescent="0.25">
      <c r="A23" s="92" t="s">
        <v>335</v>
      </c>
      <c r="B23" s="93" t="s">
        <v>169</v>
      </c>
      <c r="C23" s="94" t="s">
        <v>118</v>
      </c>
      <c r="D23" s="430">
        <v>0</v>
      </c>
      <c r="E23" s="430"/>
      <c r="F23" s="430"/>
      <c r="G23" s="430"/>
      <c r="H23" s="430"/>
      <c r="I23" s="430"/>
      <c r="J23" s="430"/>
      <c r="K23" s="430"/>
      <c r="L23" s="430"/>
      <c r="M23" s="430"/>
      <c r="N23" s="430"/>
      <c r="O23" s="430"/>
      <c r="P23" s="430">
        <f t="shared" si="0"/>
        <v>0</v>
      </c>
      <c r="Q23" s="430">
        <f t="shared" si="1"/>
        <v>0</v>
      </c>
      <c r="R23" s="430">
        <f t="shared" si="2"/>
        <v>0</v>
      </c>
    </row>
    <row r="24" spans="1:18" x14ac:dyDescent="0.25">
      <c r="A24" s="92" t="s">
        <v>335</v>
      </c>
      <c r="B24" s="93" t="s">
        <v>170</v>
      </c>
      <c r="C24" s="94" t="s">
        <v>119</v>
      </c>
      <c r="D24" s="430">
        <v>0</v>
      </c>
      <c r="E24" s="430"/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0">
        <f t="shared" si="0"/>
        <v>0</v>
      </c>
      <c r="Q24" s="430">
        <f t="shared" si="1"/>
        <v>0</v>
      </c>
      <c r="R24" s="430">
        <f t="shared" si="2"/>
        <v>0</v>
      </c>
    </row>
    <row r="25" spans="1:18" x14ac:dyDescent="0.25">
      <c r="A25" s="92"/>
      <c r="B25" s="93"/>
      <c r="C25" s="96" t="s">
        <v>121</v>
      </c>
      <c r="D25" s="430">
        <v>0</v>
      </c>
      <c r="E25" s="430"/>
      <c r="F25" s="430"/>
      <c r="G25" s="430"/>
      <c r="H25" s="430"/>
      <c r="I25" s="430"/>
      <c r="J25" s="430"/>
      <c r="K25" s="430"/>
      <c r="L25" s="430"/>
      <c r="M25" s="430"/>
      <c r="N25" s="430"/>
      <c r="O25" s="430"/>
      <c r="P25" s="430">
        <f t="shared" si="0"/>
        <v>0</v>
      </c>
      <c r="Q25" s="430">
        <f t="shared" si="1"/>
        <v>0</v>
      </c>
      <c r="R25" s="430">
        <f t="shared" si="2"/>
        <v>0</v>
      </c>
    </row>
    <row r="26" spans="1:18" x14ac:dyDescent="0.25">
      <c r="A26" s="92" t="s">
        <v>336</v>
      </c>
      <c r="B26" s="93" t="s">
        <v>171</v>
      </c>
      <c r="C26" s="94" t="s">
        <v>389</v>
      </c>
      <c r="D26" s="430">
        <v>3.3788800000000014</v>
      </c>
      <c r="E26" s="430">
        <v>5</v>
      </c>
      <c r="F26" s="430"/>
      <c r="G26" s="430"/>
      <c r="H26" s="430"/>
      <c r="I26" s="430"/>
      <c r="J26" s="430"/>
      <c r="K26" s="430"/>
      <c r="L26" s="430"/>
      <c r="M26" s="430"/>
      <c r="N26" s="430"/>
      <c r="O26" s="430"/>
      <c r="P26" s="430">
        <f t="shared" si="0"/>
        <v>3.3788800000000014</v>
      </c>
      <c r="Q26" s="430">
        <f t="shared" si="1"/>
        <v>3.3788800000000014</v>
      </c>
      <c r="R26" s="430">
        <f t="shared" si="2"/>
        <v>0</v>
      </c>
    </row>
    <row r="27" spans="1:18" x14ac:dyDescent="0.25">
      <c r="A27" s="92" t="s">
        <v>336</v>
      </c>
      <c r="B27" s="93" t="s">
        <v>172</v>
      </c>
      <c r="C27" s="94" t="s">
        <v>122</v>
      </c>
      <c r="D27" s="430">
        <v>6.03</v>
      </c>
      <c r="E27" s="430">
        <v>60</v>
      </c>
      <c r="F27" s="430"/>
      <c r="G27" s="430"/>
      <c r="H27" s="430"/>
      <c r="I27" s="430"/>
      <c r="J27" s="430"/>
      <c r="K27" s="430"/>
      <c r="L27" s="430"/>
      <c r="M27" s="430"/>
      <c r="N27" s="430"/>
      <c r="O27" s="430"/>
      <c r="P27" s="430">
        <f t="shared" si="0"/>
        <v>6.03</v>
      </c>
      <c r="Q27" s="430">
        <f t="shared" si="1"/>
        <v>6.03</v>
      </c>
      <c r="R27" s="430">
        <f t="shared" si="2"/>
        <v>0</v>
      </c>
    </row>
    <row r="28" spans="1:18" x14ac:dyDescent="0.25">
      <c r="A28" s="92" t="s">
        <v>336</v>
      </c>
      <c r="B28" s="93" t="s">
        <v>173</v>
      </c>
      <c r="C28" s="94" t="s">
        <v>123</v>
      </c>
      <c r="D28" s="430">
        <v>0</v>
      </c>
      <c r="E28" s="430">
        <v>0</v>
      </c>
      <c r="F28" s="430"/>
      <c r="G28" s="430"/>
      <c r="H28" s="430"/>
      <c r="I28" s="430"/>
      <c r="J28" s="430"/>
      <c r="K28" s="430"/>
      <c r="L28" s="430"/>
      <c r="M28" s="430"/>
      <c r="N28" s="430"/>
      <c r="O28" s="430"/>
      <c r="P28" s="430">
        <f t="shared" si="0"/>
        <v>0</v>
      </c>
      <c r="Q28" s="430">
        <f t="shared" si="1"/>
        <v>0</v>
      </c>
      <c r="R28" s="430">
        <f t="shared" si="2"/>
        <v>0</v>
      </c>
    </row>
    <row r="29" spans="1:18" x14ac:dyDescent="0.25">
      <c r="A29" s="92"/>
      <c r="B29" s="93"/>
      <c r="C29" s="96" t="s">
        <v>125</v>
      </c>
      <c r="D29" s="430">
        <v>0</v>
      </c>
      <c r="E29" s="430">
        <v>0</v>
      </c>
      <c r="F29" s="430"/>
      <c r="G29" s="430"/>
      <c r="H29" s="430"/>
      <c r="I29" s="430"/>
      <c r="J29" s="430"/>
      <c r="K29" s="430"/>
      <c r="L29" s="430"/>
      <c r="M29" s="430"/>
      <c r="N29" s="430"/>
      <c r="O29" s="430"/>
      <c r="P29" s="430">
        <f t="shared" si="0"/>
        <v>0</v>
      </c>
      <c r="Q29" s="430">
        <f t="shared" si="1"/>
        <v>0</v>
      </c>
      <c r="R29" s="430">
        <f t="shared" si="2"/>
        <v>0</v>
      </c>
    </row>
    <row r="30" spans="1:18" x14ac:dyDescent="0.25">
      <c r="A30" s="92" t="s">
        <v>31</v>
      </c>
      <c r="B30" s="93" t="s">
        <v>174</v>
      </c>
      <c r="C30" s="94" t="s">
        <v>126</v>
      </c>
      <c r="D30" s="430">
        <v>91.766989999999964</v>
      </c>
      <c r="E30" s="430">
        <v>390</v>
      </c>
      <c r="F30" s="430"/>
      <c r="G30" s="430"/>
      <c r="H30" s="430"/>
      <c r="I30" s="430"/>
      <c r="J30" s="430"/>
      <c r="K30" s="430"/>
      <c r="L30" s="430"/>
      <c r="M30" s="430"/>
      <c r="N30" s="430"/>
      <c r="O30" s="430"/>
      <c r="P30" s="430">
        <f t="shared" si="0"/>
        <v>91.766989999999964</v>
      </c>
      <c r="Q30" s="430">
        <f t="shared" si="1"/>
        <v>91.766989999999964</v>
      </c>
      <c r="R30" s="430">
        <f t="shared" si="2"/>
        <v>0</v>
      </c>
    </row>
    <row r="31" spans="1:18" x14ac:dyDescent="0.25">
      <c r="A31" s="92" t="s">
        <v>31</v>
      </c>
      <c r="B31" s="93" t="s">
        <v>175</v>
      </c>
      <c r="C31" s="94" t="s">
        <v>176</v>
      </c>
      <c r="D31" s="430">
        <v>0.83717999999999992</v>
      </c>
      <c r="E31" s="430">
        <v>1</v>
      </c>
      <c r="F31" s="430"/>
      <c r="G31" s="430"/>
      <c r="H31" s="430"/>
      <c r="I31" s="430"/>
      <c r="J31" s="430"/>
      <c r="K31" s="430"/>
      <c r="L31" s="430"/>
      <c r="M31" s="430"/>
      <c r="N31" s="430"/>
      <c r="O31" s="430"/>
      <c r="P31" s="430">
        <f t="shared" si="0"/>
        <v>0.83717999999999992</v>
      </c>
      <c r="Q31" s="430">
        <f t="shared" si="1"/>
        <v>0.83717999999999992</v>
      </c>
      <c r="R31" s="430">
        <f t="shared" si="2"/>
        <v>0</v>
      </c>
    </row>
    <row r="32" spans="1:18" x14ac:dyDescent="0.25">
      <c r="A32" s="92"/>
      <c r="B32" s="93"/>
      <c r="C32" s="98" t="s">
        <v>390</v>
      </c>
      <c r="D32" s="430">
        <v>0</v>
      </c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>
        <f t="shared" si="0"/>
        <v>0</v>
      </c>
      <c r="Q32" s="430">
        <f t="shared" si="1"/>
        <v>0</v>
      </c>
      <c r="R32" s="430">
        <f t="shared" si="2"/>
        <v>0</v>
      </c>
    </row>
    <row r="33" spans="1:18" x14ac:dyDescent="0.25">
      <c r="A33" s="92" t="s">
        <v>31</v>
      </c>
      <c r="B33" s="93" t="s">
        <v>177</v>
      </c>
      <c r="C33" s="94" t="s">
        <v>129</v>
      </c>
      <c r="D33" s="430">
        <v>0</v>
      </c>
      <c r="E33" s="430">
        <v>47</v>
      </c>
      <c r="F33" s="430"/>
      <c r="G33" s="430"/>
      <c r="H33" s="430"/>
      <c r="I33" s="430"/>
      <c r="J33" s="430"/>
      <c r="K33" s="430"/>
      <c r="L33" s="430"/>
      <c r="M33" s="430"/>
      <c r="N33" s="430"/>
      <c r="O33" s="430"/>
      <c r="P33" s="430">
        <f t="shared" si="0"/>
        <v>0</v>
      </c>
      <c r="Q33" s="430">
        <f t="shared" si="1"/>
        <v>0</v>
      </c>
      <c r="R33" s="430">
        <f t="shared" si="2"/>
        <v>0</v>
      </c>
    </row>
    <row r="34" spans="1:18" x14ac:dyDescent="0.25">
      <c r="A34" s="92" t="s">
        <v>31</v>
      </c>
      <c r="B34" s="93" t="s">
        <v>180</v>
      </c>
      <c r="C34" s="94" t="s">
        <v>391</v>
      </c>
      <c r="D34" s="430">
        <v>0</v>
      </c>
      <c r="E34" s="430">
        <v>33</v>
      </c>
      <c r="F34" s="430"/>
      <c r="G34" s="430"/>
      <c r="H34" s="430"/>
      <c r="I34" s="430"/>
      <c r="J34" s="430"/>
      <c r="K34" s="430"/>
      <c r="L34" s="430"/>
      <c r="M34" s="430"/>
      <c r="N34" s="430"/>
      <c r="O34" s="430"/>
      <c r="P34" s="430">
        <f t="shared" si="0"/>
        <v>0</v>
      </c>
      <c r="Q34" s="430">
        <f t="shared" si="1"/>
        <v>0</v>
      </c>
      <c r="R34" s="430">
        <f t="shared" si="2"/>
        <v>0</v>
      </c>
    </row>
    <row r="35" spans="1:18" x14ac:dyDescent="0.25">
      <c r="A35" s="92"/>
      <c r="B35" s="93"/>
      <c r="C35" s="99" t="s">
        <v>392</v>
      </c>
      <c r="D35" s="430">
        <v>0</v>
      </c>
      <c r="E35" s="430"/>
      <c r="F35" s="430"/>
      <c r="G35" s="430"/>
      <c r="H35" s="430"/>
      <c r="I35" s="430"/>
      <c r="J35" s="430"/>
      <c r="K35" s="430"/>
      <c r="L35" s="430"/>
      <c r="M35" s="430"/>
      <c r="N35" s="430"/>
      <c r="O35" s="430"/>
      <c r="P35" s="430">
        <f t="shared" si="0"/>
        <v>0</v>
      </c>
      <c r="Q35" s="430">
        <f t="shared" si="1"/>
        <v>0</v>
      </c>
      <c r="R35" s="430">
        <f t="shared" si="2"/>
        <v>0</v>
      </c>
    </row>
    <row r="36" spans="1:18" x14ac:dyDescent="0.25">
      <c r="A36" s="92" t="s">
        <v>31</v>
      </c>
      <c r="B36" s="93" t="s">
        <v>178</v>
      </c>
      <c r="C36" s="94" t="s">
        <v>393</v>
      </c>
      <c r="D36" s="430">
        <v>1.31697</v>
      </c>
      <c r="E36" s="430">
        <v>1</v>
      </c>
      <c r="F36" s="430"/>
      <c r="G36" s="430"/>
      <c r="H36" s="430"/>
      <c r="I36" s="430"/>
      <c r="J36" s="430"/>
      <c r="K36" s="430"/>
      <c r="L36" s="430"/>
      <c r="M36" s="430"/>
      <c r="N36" s="430"/>
      <c r="O36" s="430"/>
      <c r="P36" s="430">
        <f t="shared" ref="P36:P67" si="3">IF(Mese=1,Q36,Q36-CHOOSE(Mese-1,D36,E36,F36,G36,H36,I36,J36,K36,L36,M36,N36,O36))</f>
        <v>1.31697</v>
      </c>
      <c r="Q36" s="430">
        <f t="shared" ref="Q36:Q67" si="4">CHOOSE(Mese,D36,E36,F36,G36,H36,I36,J36,K36,L36,M36,N36,O36)</f>
        <v>1.31697</v>
      </c>
      <c r="R36" s="430">
        <f t="shared" si="2"/>
        <v>0</v>
      </c>
    </row>
    <row r="37" spans="1:18" x14ac:dyDescent="0.25">
      <c r="A37" s="92" t="s">
        <v>31</v>
      </c>
      <c r="B37" s="93" t="s">
        <v>179</v>
      </c>
      <c r="C37" s="94" t="s">
        <v>130</v>
      </c>
      <c r="D37" s="430">
        <v>0</v>
      </c>
      <c r="E37" s="430">
        <v>0</v>
      </c>
      <c r="F37" s="430"/>
      <c r="G37" s="430"/>
      <c r="H37" s="430"/>
      <c r="I37" s="430"/>
      <c r="J37" s="430"/>
      <c r="K37" s="430"/>
      <c r="L37" s="430"/>
      <c r="M37" s="430"/>
      <c r="N37" s="430"/>
      <c r="O37" s="430"/>
      <c r="P37" s="430">
        <f t="shared" si="3"/>
        <v>0</v>
      </c>
      <c r="Q37" s="430">
        <f t="shared" si="4"/>
        <v>0</v>
      </c>
      <c r="R37" s="430">
        <f t="shared" si="2"/>
        <v>0</v>
      </c>
    </row>
    <row r="38" spans="1:18" x14ac:dyDescent="0.25">
      <c r="A38" s="92" t="s">
        <v>31</v>
      </c>
      <c r="B38" s="93" t="s">
        <v>181</v>
      </c>
      <c r="C38" s="94" t="s">
        <v>131</v>
      </c>
      <c r="D38" s="430">
        <v>21.09948</v>
      </c>
      <c r="E38" s="430">
        <v>42</v>
      </c>
      <c r="F38" s="430"/>
      <c r="G38" s="430"/>
      <c r="H38" s="430"/>
      <c r="I38" s="430"/>
      <c r="J38" s="430"/>
      <c r="K38" s="430"/>
      <c r="L38" s="430"/>
      <c r="M38" s="430"/>
      <c r="N38" s="430"/>
      <c r="O38" s="430"/>
      <c r="P38" s="430">
        <f t="shared" si="3"/>
        <v>21.09948</v>
      </c>
      <c r="Q38" s="430">
        <f t="shared" si="4"/>
        <v>21.09948</v>
      </c>
      <c r="R38" s="430">
        <f t="shared" si="2"/>
        <v>0</v>
      </c>
    </row>
    <row r="39" spans="1:18" x14ac:dyDescent="0.25">
      <c r="A39" s="92"/>
      <c r="B39" s="93"/>
      <c r="C39" s="99" t="s">
        <v>132</v>
      </c>
      <c r="D39" s="430">
        <v>0</v>
      </c>
      <c r="E39" s="430"/>
      <c r="F39" s="430"/>
      <c r="G39" s="430"/>
      <c r="H39" s="430"/>
      <c r="I39" s="430"/>
      <c r="J39" s="430"/>
      <c r="K39" s="430"/>
      <c r="L39" s="430"/>
      <c r="M39" s="430"/>
      <c r="N39" s="430"/>
      <c r="O39" s="430"/>
      <c r="P39" s="430">
        <f t="shared" si="3"/>
        <v>0</v>
      </c>
      <c r="Q39" s="430">
        <f t="shared" si="4"/>
        <v>0</v>
      </c>
      <c r="R39" s="430">
        <f t="shared" si="2"/>
        <v>0</v>
      </c>
    </row>
    <row r="40" spans="1:18" x14ac:dyDescent="0.25">
      <c r="A40" s="92" t="s">
        <v>31</v>
      </c>
      <c r="B40" s="93" t="s">
        <v>182</v>
      </c>
      <c r="C40" s="94" t="s">
        <v>394</v>
      </c>
      <c r="D40" s="430">
        <v>1.6938599999999999</v>
      </c>
      <c r="E40" s="430">
        <v>6</v>
      </c>
      <c r="F40" s="430"/>
      <c r="G40" s="430"/>
      <c r="H40" s="430"/>
      <c r="I40" s="430"/>
      <c r="J40" s="430"/>
      <c r="K40" s="430"/>
      <c r="L40" s="430"/>
      <c r="M40" s="430"/>
      <c r="N40" s="430"/>
      <c r="O40" s="430"/>
      <c r="P40" s="430">
        <f t="shared" si="3"/>
        <v>1.6938599999999999</v>
      </c>
      <c r="Q40" s="430">
        <f t="shared" si="4"/>
        <v>1.6938599999999999</v>
      </c>
      <c r="R40" s="430">
        <f t="shared" si="2"/>
        <v>0</v>
      </c>
    </row>
    <row r="41" spans="1:18" x14ac:dyDescent="0.25">
      <c r="A41" s="92" t="s">
        <v>31</v>
      </c>
      <c r="B41" s="93" t="s">
        <v>183</v>
      </c>
      <c r="C41" s="94" t="s">
        <v>133</v>
      </c>
      <c r="D41" s="430">
        <v>10.427320000000002</v>
      </c>
      <c r="E41" s="430">
        <v>20</v>
      </c>
      <c r="F41" s="430"/>
      <c r="G41" s="430"/>
      <c r="H41" s="430"/>
      <c r="I41" s="430"/>
      <c r="J41" s="430"/>
      <c r="K41" s="430"/>
      <c r="L41" s="430"/>
      <c r="M41" s="430"/>
      <c r="N41" s="430"/>
      <c r="O41" s="430"/>
      <c r="P41" s="430">
        <f t="shared" si="3"/>
        <v>10.427320000000002</v>
      </c>
      <c r="Q41" s="430">
        <f t="shared" si="4"/>
        <v>10.427320000000002</v>
      </c>
      <c r="R41" s="430">
        <f t="shared" si="2"/>
        <v>0</v>
      </c>
    </row>
    <row r="42" spans="1:18" x14ac:dyDescent="0.25">
      <c r="A42" s="92" t="s">
        <v>31</v>
      </c>
      <c r="B42" s="93" t="s">
        <v>184</v>
      </c>
      <c r="C42" s="94" t="s">
        <v>134</v>
      </c>
      <c r="D42" s="430">
        <v>3.4345799999999995</v>
      </c>
      <c r="E42" s="430">
        <v>6</v>
      </c>
      <c r="F42" s="430"/>
      <c r="G42" s="430"/>
      <c r="H42" s="430"/>
      <c r="I42" s="430"/>
      <c r="J42" s="430"/>
      <c r="K42" s="430"/>
      <c r="L42" s="430"/>
      <c r="M42" s="430"/>
      <c r="N42" s="430"/>
      <c r="O42" s="430"/>
      <c r="P42" s="430">
        <f t="shared" si="3"/>
        <v>3.4345799999999995</v>
      </c>
      <c r="Q42" s="430">
        <f t="shared" si="4"/>
        <v>3.4345799999999995</v>
      </c>
      <c r="R42" s="430">
        <f t="shared" si="2"/>
        <v>0</v>
      </c>
    </row>
    <row r="43" spans="1:18" x14ac:dyDescent="0.25">
      <c r="A43" s="92" t="s">
        <v>31</v>
      </c>
      <c r="B43" s="93" t="s">
        <v>185</v>
      </c>
      <c r="C43" s="94" t="s">
        <v>395</v>
      </c>
      <c r="D43" s="430">
        <v>0.17202000000000001</v>
      </c>
      <c r="E43" s="430">
        <v>0</v>
      </c>
      <c r="F43" s="430"/>
      <c r="G43" s="430"/>
      <c r="H43" s="430"/>
      <c r="I43" s="430"/>
      <c r="J43" s="430"/>
      <c r="K43" s="430"/>
      <c r="L43" s="430"/>
      <c r="M43" s="430"/>
      <c r="N43" s="430"/>
      <c r="O43" s="430"/>
      <c r="P43" s="430">
        <f t="shared" si="3"/>
        <v>0.17202000000000001</v>
      </c>
      <c r="Q43" s="430">
        <f t="shared" si="4"/>
        <v>0.17202000000000001</v>
      </c>
      <c r="R43" s="430">
        <f t="shared" si="2"/>
        <v>0</v>
      </c>
    </row>
    <row r="44" spans="1:18" x14ac:dyDescent="0.25">
      <c r="A44" s="92"/>
      <c r="B44" s="93"/>
      <c r="C44" s="99" t="s">
        <v>136</v>
      </c>
      <c r="D44" s="430">
        <v>0</v>
      </c>
      <c r="E44" s="430"/>
      <c r="F44" s="430"/>
      <c r="G44" s="430"/>
      <c r="H44" s="430"/>
      <c r="I44" s="430"/>
      <c r="J44" s="430"/>
      <c r="K44" s="430"/>
      <c r="L44" s="430"/>
      <c r="M44" s="430"/>
      <c r="N44" s="430"/>
      <c r="O44" s="430"/>
      <c r="P44" s="430">
        <f t="shared" si="3"/>
        <v>0</v>
      </c>
      <c r="Q44" s="430">
        <f t="shared" si="4"/>
        <v>0</v>
      </c>
      <c r="R44" s="430">
        <f t="shared" si="2"/>
        <v>0</v>
      </c>
    </row>
    <row r="45" spans="1:18" x14ac:dyDescent="0.25">
      <c r="A45" s="92" t="s">
        <v>31</v>
      </c>
      <c r="B45" s="93" t="s">
        <v>186</v>
      </c>
      <c r="C45" s="94" t="s">
        <v>137</v>
      </c>
      <c r="D45" s="430">
        <v>139.75915000000032</v>
      </c>
      <c r="E45" s="430">
        <v>298</v>
      </c>
      <c r="F45" s="430"/>
      <c r="G45" s="430"/>
      <c r="H45" s="430"/>
      <c r="I45" s="430"/>
      <c r="J45" s="430"/>
      <c r="K45" s="430"/>
      <c r="L45" s="430"/>
      <c r="M45" s="430"/>
      <c r="N45" s="430"/>
      <c r="O45" s="430"/>
      <c r="P45" s="430">
        <f t="shared" si="3"/>
        <v>139.75915000000032</v>
      </c>
      <c r="Q45" s="430">
        <f t="shared" si="4"/>
        <v>139.75915000000032</v>
      </c>
      <c r="R45" s="430">
        <f t="shared" si="2"/>
        <v>0</v>
      </c>
    </row>
    <row r="46" spans="1:18" x14ac:dyDescent="0.25">
      <c r="A46" s="92" t="s">
        <v>31</v>
      </c>
      <c r="B46" s="93" t="s">
        <v>187</v>
      </c>
      <c r="C46" s="94" t="s">
        <v>138</v>
      </c>
      <c r="D46" s="430">
        <v>7.211330000000002</v>
      </c>
      <c r="E46" s="430">
        <v>21</v>
      </c>
      <c r="F46" s="430"/>
      <c r="G46" s="430"/>
      <c r="H46" s="430"/>
      <c r="I46" s="430"/>
      <c r="J46" s="430"/>
      <c r="K46" s="430"/>
      <c r="L46" s="430"/>
      <c r="M46" s="430"/>
      <c r="N46" s="430"/>
      <c r="O46" s="430"/>
      <c r="P46" s="430">
        <f t="shared" si="3"/>
        <v>7.211330000000002</v>
      </c>
      <c r="Q46" s="430">
        <f t="shared" si="4"/>
        <v>7.211330000000002</v>
      </c>
      <c r="R46" s="430">
        <f t="shared" si="2"/>
        <v>0</v>
      </c>
    </row>
    <row r="47" spans="1:18" x14ac:dyDescent="0.25">
      <c r="A47" s="92" t="s">
        <v>31</v>
      </c>
      <c r="B47" s="93" t="s">
        <v>188</v>
      </c>
      <c r="C47" s="94" t="s">
        <v>396</v>
      </c>
      <c r="D47" s="430">
        <v>0</v>
      </c>
      <c r="E47" s="430">
        <v>0</v>
      </c>
      <c r="F47" s="430"/>
      <c r="G47" s="430"/>
      <c r="H47" s="430"/>
      <c r="I47" s="430"/>
      <c r="J47" s="430"/>
      <c r="K47" s="430"/>
      <c r="L47" s="430"/>
      <c r="M47" s="430"/>
      <c r="N47" s="430"/>
      <c r="O47" s="430"/>
      <c r="P47" s="430">
        <f t="shared" si="3"/>
        <v>0</v>
      </c>
      <c r="Q47" s="430">
        <f t="shared" si="4"/>
        <v>0</v>
      </c>
      <c r="R47" s="430">
        <f t="shared" si="2"/>
        <v>0</v>
      </c>
    </row>
    <row r="48" spans="1:18" x14ac:dyDescent="0.25">
      <c r="A48" s="92" t="s">
        <v>31</v>
      </c>
      <c r="B48" s="93" t="s">
        <v>189</v>
      </c>
      <c r="C48" s="94" t="s">
        <v>95</v>
      </c>
      <c r="D48" s="430">
        <v>0</v>
      </c>
      <c r="E48" s="430">
        <v>0</v>
      </c>
      <c r="F48" s="430"/>
      <c r="G48" s="430"/>
      <c r="H48" s="430"/>
      <c r="I48" s="430"/>
      <c r="J48" s="430"/>
      <c r="K48" s="430"/>
      <c r="L48" s="430"/>
      <c r="M48" s="430"/>
      <c r="N48" s="430"/>
      <c r="O48" s="430"/>
      <c r="P48" s="430">
        <f t="shared" si="3"/>
        <v>0</v>
      </c>
      <c r="Q48" s="430">
        <f t="shared" si="4"/>
        <v>0</v>
      </c>
      <c r="R48" s="430">
        <f t="shared" si="2"/>
        <v>0</v>
      </c>
    </row>
    <row r="49" spans="1:18" x14ac:dyDescent="0.25">
      <c r="A49" s="92" t="s">
        <v>31</v>
      </c>
      <c r="B49" s="93" t="s">
        <v>190</v>
      </c>
      <c r="C49" s="94" t="s">
        <v>397</v>
      </c>
      <c r="D49" s="430">
        <v>5.339E-2</v>
      </c>
      <c r="E49" s="430">
        <v>0</v>
      </c>
      <c r="F49" s="430"/>
      <c r="G49" s="430"/>
      <c r="H49" s="430"/>
      <c r="I49" s="430"/>
      <c r="J49" s="430"/>
      <c r="K49" s="430"/>
      <c r="L49" s="430"/>
      <c r="M49" s="430"/>
      <c r="N49" s="430"/>
      <c r="O49" s="430"/>
      <c r="P49" s="430">
        <f t="shared" si="3"/>
        <v>5.339E-2</v>
      </c>
      <c r="Q49" s="430">
        <f t="shared" si="4"/>
        <v>5.339E-2</v>
      </c>
      <c r="R49" s="430">
        <f t="shared" si="2"/>
        <v>0</v>
      </c>
    </row>
    <row r="50" spans="1:18" x14ac:dyDescent="0.25">
      <c r="A50" s="92" t="s">
        <v>31</v>
      </c>
      <c r="B50" s="93" t="s">
        <v>191</v>
      </c>
      <c r="C50" s="94" t="s">
        <v>139</v>
      </c>
      <c r="D50" s="430">
        <v>3.3330000000000026E-2</v>
      </c>
      <c r="E50" s="430">
        <v>0</v>
      </c>
      <c r="F50" s="430"/>
      <c r="G50" s="430"/>
      <c r="H50" s="430"/>
      <c r="I50" s="430"/>
      <c r="J50" s="430"/>
      <c r="K50" s="430"/>
      <c r="L50" s="430"/>
      <c r="M50" s="430"/>
      <c r="N50" s="430"/>
      <c r="O50" s="430"/>
      <c r="P50" s="430">
        <f t="shared" si="3"/>
        <v>3.3330000000000026E-2</v>
      </c>
      <c r="Q50" s="430">
        <f t="shared" si="4"/>
        <v>3.3330000000000026E-2</v>
      </c>
      <c r="R50" s="430">
        <f t="shared" si="2"/>
        <v>0</v>
      </c>
    </row>
    <row r="51" spans="1:18" x14ac:dyDescent="0.25">
      <c r="A51" s="92"/>
      <c r="B51" s="93"/>
      <c r="C51" s="99" t="s">
        <v>141</v>
      </c>
      <c r="D51" s="430">
        <v>0</v>
      </c>
      <c r="E51" s="430"/>
      <c r="F51" s="430"/>
      <c r="G51" s="430"/>
      <c r="H51" s="430"/>
      <c r="I51" s="430"/>
      <c r="J51" s="430"/>
      <c r="K51" s="430"/>
      <c r="L51" s="430"/>
      <c r="M51" s="430"/>
      <c r="N51" s="430"/>
      <c r="O51" s="430"/>
      <c r="P51" s="430">
        <f t="shared" si="3"/>
        <v>0</v>
      </c>
      <c r="Q51" s="430">
        <f t="shared" si="4"/>
        <v>0</v>
      </c>
      <c r="R51" s="430">
        <f t="shared" si="2"/>
        <v>0</v>
      </c>
    </row>
    <row r="52" spans="1:18" x14ac:dyDescent="0.25">
      <c r="A52" s="92" t="s">
        <v>31</v>
      </c>
      <c r="B52" s="93" t="s">
        <v>192</v>
      </c>
      <c r="C52" s="94" t="s">
        <v>142</v>
      </c>
      <c r="D52" s="430">
        <v>0.20911000000000002</v>
      </c>
      <c r="E52" s="430">
        <v>0</v>
      </c>
      <c r="F52" s="430"/>
      <c r="G52" s="430"/>
      <c r="H52" s="430"/>
      <c r="I52" s="430"/>
      <c r="J52" s="430"/>
      <c r="K52" s="430"/>
      <c r="L52" s="430"/>
      <c r="M52" s="430"/>
      <c r="N52" s="430"/>
      <c r="O52" s="430"/>
      <c r="P52" s="430">
        <f t="shared" si="3"/>
        <v>0.20911000000000002</v>
      </c>
      <c r="Q52" s="430">
        <f t="shared" si="4"/>
        <v>0.20911000000000002</v>
      </c>
      <c r="R52" s="430">
        <f t="shared" si="2"/>
        <v>0</v>
      </c>
    </row>
    <row r="53" spans="1:18" x14ac:dyDescent="0.25">
      <c r="A53" s="92" t="s">
        <v>31</v>
      </c>
      <c r="B53" s="93" t="s">
        <v>193</v>
      </c>
      <c r="C53" s="94" t="s">
        <v>143</v>
      </c>
      <c r="D53" s="430">
        <v>6.2799999999999995E-2</v>
      </c>
      <c r="E53" s="430">
        <v>0</v>
      </c>
      <c r="F53" s="430"/>
      <c r="G53" s="430"/>
      <c r="H53" s="430"/>
      <c r="I53" s="430"/>
      <c r="J53" s="430"/>
      <c r="K53" s="430"/>
      <c r="L53" s="430"/>
      <c r="M53" s="430"/>
      <c r="N53" s="430"/>
      <c r="O53" s="430"/>
      <c r="P53" s="430">
        <f t="shared" si="3"/>
        <v>6.2799999999999995E-2</v>
      </c>
      <c r="Q53" s="430">
        <f t="shared" si="4"/>
        <v>6.2799999999999995E-2</v>
      </c>
      <c r="R53" s="430">
        <f t="shared" si="2"/>
        <v>0</v>
      </c>
    </row>
    <row r="54" spans="1:18" x14ac:dyDescent="0.25">
      <c r="A54" s="92"/>
      <c r="B54" s="93"/>
      <c r="C54" s="99" t="s">
        <v>145</v>
      </c>
      <c r="D54" s="384">
        <v>0</v>
      </c>
      <c r="E54" s="430"/>
      <c r="F54" s="430"/>
      <c r="G54" s="430"/>
      <c r="H54" s="430"/>
      <c r="I54" s="430"/>
      <c r="J54" s="430"/>
      <c r="K54" s="430"/>
      <c r="L54" s="430"/>
      <c r="M54" s="430"/>
      <c r="N54" s="430"/>
      <c r="O54" s="430"/>
      <c r="P54" s="430">
        <f t="shared" si="3"/>
        <v>0</v>
      </c>
      <c r="Q54" s="430">
        <f t="shared" si="4"/>
        <v>0</v>
      </c>
      <c r="R54" s="430">
        <f t="shared" si="2"/>
        <v>0</v>
      </c>
    </row>
    <row r="55" spans="1:18" x14ac:dyDescent="0.25">
      <c r="A55" s="92" t="s">
        <v>31</v>
      </c>
      <c r="B55" s="93" t="s">
        <v>194</v>
      </c>
      <c r="C55" s="94" t="s">
        <v>146</v>
      </c>
      <c r="D55" s="430">
        <v>0</v>
      </c>
      <c r="E55" s="430">
        <v>0</v>
      </c>
      <c r="F55" s="430"/>
      <c r="G55" s="430"/>
      <c r="H55" s="430"/>
      <c r="I55" s="430"/>
      <c r="J55" s="430"/>
      <c r="K55" s="430"/>
      <c r="L55" s="430"/>
      <c r="M55" s="430"/>
      <c r="N55" s="430"/>
      <c r="O55" s="430"/>
      <c r="P55" s="430">
        <f t="shared" si="3"/>
        <v>0</v>
      </c>
      <c r="Q55" s="430">
        <f t="shared" si="4"/>
        <v>0</v>
      </c>
      <c r="R55" s="430">
        <f t="shared" si="2"/>
        <v>0</v>
      </c>
    </row>
    <row r="56" spans="1:18" x14ac:dyDescent="0.25">
      <c r="A56" s="92" t="s">
        <v>31</v>
      </c>
      <c r="B56" s="93" t="s">
        <v>195</v>
      </c>
      <c r="C56" s="94" t="s">
        <v>412</v>
      </c>
      <c r="D56" s="430">
        <v>1.3875</v>
      </c>
      <c r="E56" s="430">
        <v>2</v>
      </c>
      <c r="F56" s="430"/>
      <c r="G56" s="430"/>
      <c r="H56" s="430"/>
      <c r="I56" s="430"/>
      <c r="J56" s="430"/>
      <c r="K56" s="430"/>
      <c r="L56" s="430"/>
      <c r="M56" s="430"/>
      <c r="N56" s="430"/>
      <c r="O56" s="430"/>
      <c r="P56" s="430">
        <f t="shared" si="3"/>
        <v>1.3875</v>
      </c>
      <c r="Q56" s="430">
        <f t="shared" si="4"/>
        <v>1.3875</v>
      </c>
      <c r="R56" s="430">
        <f t="shared" si="2"/>
        <v>0</v>
      </c>
    </row>
    <row r="57" spans="1:18" x14ac:dyDescent="0.25">
      <c r="A57" s="92" t="s">
        <v>346</v>
      </c>
      <c r="B57" s="93" t="s">
        <v>196</v>
      </c>
      <c r="C57" s="94" t="s">
        <v>147</v>
      </c>
      <c r="D57" s="430">
        <v>1.1253599999999999</v>
      </c>
      <c r="E57" s="430">
        <v>2</v>
      </c>
      <c r="F57" s="430"/>
      <c r="G57" s="430"/>
      <c r="H57" s="430"/>
      <c r="I57" s="430"/>
      <c r="J57" s="430"/>
      <c r="K57" s="430"/>
      <c r="L57" s="430"/>
      <c r="M57" s="430"/>
      <c r="N57" s="430"/>
      <c r="O57" s="430"/>
      <c r="P57" s="430">
        <f t="shared" si="3"/>
        <v>1.1253599999999999</v>
      </c>
      <c r="Q57" s="430">
        <f t="shared" si="4"/>
        <v>1.1253599999999999</v>
      </c>
      <c r="R57" s="430">
        <f t="shared" si="2"/>
        <v>0</v>
      </c>
    </row>
    <row r="58" spans="1:18" x14ac:dyDescent="0.25">
      <c r="A58" s="92" t="s">
        <v>330</v>
      </c>
      <c r="B58" s="93" t="s">
        <v>197</v>
      </c>
      <c r="C58" s="98" t="s">
        <v>150</v>
      </c>
      <c r="D58" s="430">
        <v>0</v>
      </c>
      <c r="E58" s="430">
        <v>0</v>
      </c>
      <c r="F58" s="430"/>
      <c r="G58" s="430"/>
      <c r="H58" s="430"/>
      <c r="I58" s="430"/>
      <c r="J58" s="430"/>
      <c r="K58" s="430"/>
      <c r="L58" s="430"/>
      <c r="M58" s="430"/>
      <c r="N58" s="430"/>
      <c r="O58" s="430"/>
      <c r="P58" s="430">
        <f t="shared" si="3"/>
        <v>0</v>
      </c>
      <c r="Q58" s="430">
        <f t="shared" si="4"/>
        <v>0</v>
      </c>
      <c r="R58" s="430">
        <f t="shared" si="2"/>
        <v>0</v>
      </c>
    </row>
    <row r="59" spans="1:18" x14ac:dyDescent="0.25">
      <c r="A59" s="92"/>
      <c r="B59" s="370"/>
      <c r="C59" s="89" t="s">
        <v>198</v>
      </c>
      <c r="D59" s="430">
        <v>0</v>
      </c>
      <c r="E59" s="430"/>
      <c r="F59" s="430"/>
      <c r="G59" s="430"/>
      <c r="H59" s="430"/>
      <c r="I59" s="430"/>
      <c r="J59" s="430"/>
      <c r="K59" s="430"/>
      <c r="L59" s="430"/>
      <c r="M59" s="430"/>
      <c r="N59" s="430"/>
      <c r="O59" s="430"/>
      <c r="P59" s="430">
        <f t="shared" si="3"/>
        <v>0</v>
      </c>
      <c r="Q59" s="430">
        <f t="shared" si="4"/>
        <v>0</v>
      </c>
      <c r="R59" s="430">
        <f t="shared" si="2"/>
        <v>0</v>
      </c>
    </row>
    <row r="60" spans="1:18" x14ac:dyDescent="0.25">
      <c r="A60" s="92"/>
      <c r="B60" s="370"/>
      <c r="C60" s="100" t="s">
        <v>439</v>
      </c>
      <c r="D60" s="430">
        <v>0</v>
      </c>
      <c r="E60" s="430"/>
      <c r="F60" s="430"/>
      <c r="G60" s="430"/>
      <c r="H60" s="430"/>
      <c r="I60" s="430"/>
      <c r="J60" s="430"/>
      <c r="K60" s="430"/>
      <c r="L60" s="430"/>
      <c r="M60" s="430"/>
      <c r="N60" s="430"/>
      <c r="O60" s="430"/>
      <c r="P60" s="430">
        <f t="shared" si="3"/>
        <v>0</v>
      </c>
      <c r="Q60" s="430">
        <f t="shared" si="4"/>
        <v>0</v>
      </c>
      <c r="R60" s="430">
        <f t="shared" si="2"/>
        <v>0</v>
      </c>
    </row>
    <row r="61" spans="1:18" x14ac:dyDescent="0.25">
      <c r="A61" s="92" t="s">
        <v>199</v>
      </c>
      <c r="B61" s="370" t="s">
        <v>200</v>
      </c>
      <c r="C61" s="101" t="s">
        <v>433</v>
      </c>
      <c r="D61" s="430">
        <v>126.66094999999997</v>
      </c>
      <c r="E61" s="430">
        <v>305</v>
      </c>
      <c r="F61" s="430"/>
      <c r="G61" s="430"/>
      <c r="H61" s="430"/>
      <c r="I61" s="430"/>
      <c r="J61" s="430"/>
      <c r="K61" s="430"/>
      <c r="L61" s="430"/>
      <c r="M61" s="430"/>
      <c r="N61" s="430"/>
      <c r="O61" s="430"/>
      <c r="P61" s="430">
        <f t="shared" si="3"/>
        <v>126.66094999999997</v>
      </c>
      <c r="Q61" s="430">
        <f t="shared" si="4"/>
        <v>126.66094999999997</v>
      </c>
      <c r="R61" s="430">
        <f t="shared" si="2"/>
        <v>0</v>
      </c>
    </row>
    <row r="62" spans="1:18" x14ac:dyDescent="0.25">
      <c r="A62" s="92" t="s">
        <v>199</v>
      </c>
      <c r="B62" s="370" t="s">
        <v>201</v>
      </c>
      <c r="C62" s="101" t="s">
        <v>434</v>
      </c>
      <c r="D62" s="430">
        <v>2.983940000000004</v>
      </c>
      <c r="E62" s="430">
        <v>6</v>
      </c>
      <c r="F62" s="430"/>
      <c r="G62" s="430"/>
      <c r="H62" s="430"/>
      <c r="I62" s="430"/>
      <c r="J62" s="430"/>
      <c r="K62" s="430"/>
      <c r="L62" s="430"/>
      <c r="M62" s="430"/>
      <c r="N62" s="430"/>
      <c r="O62" s="430"/>
      <c r="P62" s="430">
        <f t="shared" si="3"/>
        <v>2.983940000000004</v>
      </c>
      <c r="Q62" s="430">
        <f t="shared" si="4"/>
        <v>2.983940000000004</v>
      </c>
      <c r="R62" s="430">
        <f t="shared" si="2"/>
        <v>0</v>
      </c>
    </row>
    <row r="63" spans="1:18" x14ac:dyDescent="0.25">
      <c r="A63" s="92" t="s">
        <v>199</v>
      </c>
      <c r="B63" s="370" t="s">
        <v>202</v>
      </c>
      <c r="C63" s="101" t="s">
        <v>435</v>
      </c>
      <c r="D63" s="430">
        <v>0</v>
      </c>
      <c r="E63" s="430">
        <v>0</v>
      </c>
      <c r="F63" s="430"/>
      <c r="G63" s="430"/>
      <c r="H63" s="430"/>
      <c r="I63" s="430"/>
      <c r="J63" s="430"/>
      <c r="K63" s="430"/>
      <c r="L63" s="430"/>
      <c r="M63" s="430"/>
      <c r="N63" s="430"/>
      <c r="O63" s="430"/>
      <c r="P63" s="430">
        <f t="shared" si="3"/>
        <v>0</v>
      </c>
      <c r="Q63" s="430">
        <f t="shared" si="4"/>
        <v>0</v>
      </c>
      <c r="R63" s="430">
        <f t="shared" si="2"/>
        <v>0</v>
      </c>
    </row>
    <row r="64" spans="1:18" x14ac:dyDescent="0.25">
      <c r="A64" s="92" t="s">
        <v>199</v>
      </c>
      <c r="B64" s="370" t="s">
        <v>203</v>
      </c>
      <c r="C64" s="101" t="s">
        <v>436</v>
      </c>
      <c r="D64" s="430">
        <v>-124.96535999999998</v>
      </c>
      <c r="E64" s="430">
        <v>-125</v>
      </c>
      <c r="F64" s="430"/>
      <c r="G64" s="430"/>
      <c r="H64" s="430"/>
      <c r="I64" s="430"/>
      <c r="J64" s="430"/>
      <c r="K64" s="430"/>
      <c r="L64" s="430"/>
      <c r="M64" s="430"/>
      <c r="N64" s="430"/>
      <c r="O64" s="430"/>
      <c r="P64" s="430">
        <f t="shared" si="3"/>
        <v>-124.96535999999998</v>
      </c>
      <c r="Q64" s="430">
        <f t="shared" si="4"/>
        <v>-124.96535999999998</v>
      </c>
      <c r="R64" s="430">
        <f t="shared" si="2"/>
        <v>0</v>
      </c>
    </row>
    <row r="65" spans="1:18" x14ac:dyDescent="0.25">
      <c r="A65" s="92" t="s">
        <v>330</v>
      </c>
      <c r="B65" s="370" t="s">
        <v>204</v>
      </c>
      <c r="C65" s="101" t="s">
        <v>398</v>
      </c>
      <c r="D65" s="430">
        <v>0</v>
      </c>
      <c r="E65" s="430">
        <v>0</v>
      </c>
      <c r="F65" s="430"/>
      <c r="G65" s="430"/>
      <c r="H65" s="430"/>
      <c r="I65" s="430"/>
      <c r="J65" s="430"/>
      <c r="K65" s="430"/>
      <c r="L65" s="430"/>
      <c r="M65" s="430"/>
      <c r="N65" s="430"/>
      <c r="O65" s="430"/>
      <c r="P65" s="430">
        <f t="shared" si="3"/>
        <v>0</v>
      </c>
      <c r="Q65" s="430">
        <f t="shared" si="4"/>
        <v>0</v>
      </c>
      <c r="R65" s="430">
        <f t="shared" si="2"/>
        <v>0</v>
      </c>
    </row>
    <row r="66" spans="1:18" x14ac:dyDescent="0.25">
      <c r="A66" s="92" t="s">
        <v>199</v>
      </c>
      <c r="B66" s="370" t="s">
        <v>205</v>
      </c>
      <c r="C66" s="101" t="s">
        <v>431</v>
      </c>
      <c r="D66" s="430">
        <v>4.9541599999999999</v>
      </c>
      <c r="E66" s="430">
        <v>8</v>
      </c>
      <c r="F66" s="430"/>
      <c r="G66" s="430"/>
      <c r="H66" s="430"/>
      <c r="I66" s="430"/>
      <c r="J66" s="430"/>
      <c r="K66" s="430"/>
      <c r="L66" s="430"/>
      <c r="M66" s="430"/>
      <c r="N66" s="430"/>
      <c r="O66" s="430"/>
      <c r="P66" s="430">
        <f t="shared" si="3"/>
        <v>4.9541599999999999</v>
      </c>
      <c r="Q66" s="430">
        <f t="shared" si="4"/>
        <v>4.9541599999999999</v>
      </c>
      <c r="R66" s="430">
        <f t="shared" si="2"/>
        <v>0</v>
      </c>
    </row>
    <row r="67" spans="1:18" x14ac:dyDescent="0.25">
      <c r="A67" s="92" t="s">
        <v>199</v>
      </c>
      <c r="B67" s="370" t="s">
        <v>206</v>
      </c>
      <c r="C67" s="101" t="s">
        <v>432</v>
      </c>
      <c r="D67" s="430">
        <v>0</v>
      </c>
      <c r="E67" s="430">
        <v>0</v>
      </c>
      <c r="F67" s="430"/>
      <c r="G67" s="430"/>
      <c r="H67" s="430"/>
      <c r="I67" s="430"/>
      <c r="J67" s="430"/>
      <c r="K67" s="430"/>
      <c r="L67" s="430"/>
      <c r="M67" s="430"/>
      <c r="N67" s="430"/>
      <c r="O67" s="430"/>
      <c r="P67" s="430">
        <f t="shared" si="3"/>
        <v>0</v>
      </c>
      <c r="Q67" s="430">
        <f t="shared" si="4"/>
        <v>0</v>
      </c>
      <c r="R67" s="430">
        <f t="shared" si="2"/>
        <v>0</v>
      </c>
    </row>
    <row r="68" spans="1:18" x14ac:dyDescent="0.25">
      <c r="A68" s="92"/>
      <c r="B68" s="370"/>
      <c r="C68" s="100" t="s">
        <v>440</v>
      </c>
      <c r="D68" s="430">
        <v>0</v>
      </c>
      <c r="E68" s="430">
        <v>0</v>
      </c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>
        <f t="shared" ref="P68:P99" si="5">IF(Mese=1,Q68,Q68-CHOOSE(Mese-1,D68,E68,F68,G68,H68,I68,J68,K68,L68,M68,N68,O68))</f>
        <v>0</v>
      </c>
      <c r="Q68" s="430">
        <f t="shared" ref="Q68:Q99" si="6">CHOOSE(Mese,D68,E68,F68,G68,H68,I68,J68,K68,L68,M68,N68,O68)</f>
        <v>0</v>
      </c>
      <c r="R68" s="430">
        <f t="shared" si="2"/>
        <v>0</v>
      </c>
    </row>
    <row r="69" spans="1:18" x14ac:dyDescent="0.25">
      <c r="A69" s="92" t="s">
        <v>199</v>
      </c>
      <c r="B69" s="370" t="s">
        <v>207</v>
      </c>
      <c r="C69" s="101" t="s">
        <v>441</v>
      </c>
      <c r="D69" s="384">
        <v>0</v>
      </c>
      <c r="E69" s="430">
        <v>0</v>
      </c>
      <c r="F69" s="430"/>
      <c r="G69" s="430"/>
      <c r="H69" s="430"/>
      <c r="I69" s="430"/>
      <c r="J69" s="430"/>
      <c r="K69" s="430"/>
      <c r="L69" s="430"/>
      <c r="M69" s="430"/>
      <c r="N69" s="430"/>
      <c r="O69" s="430"/>
      <c r="P69" s="430">
        <f t="shared" si="5"/>
        <v>0</v>
      </c>
      <c r="Q69" s="430">
        <f t="shared" si="6"/>
        <v>0</v>
      </c>
      <c r="R69" s="430">
        <f t="shared" ref="R69:R107" si="7">Q69-P69</f>
        <v>0</v>
      </c>
    </row>
    <row r="70" spans="1:18" x14ac:dyDescent="0.25">
      <c r="A70" s="92" t="s">
        <v>199</v>
      </c>
      <c r="B70" s="370" t="s">
        <v>208</v>
      </c>
      <c r="C70" s="101" t="s">
        <v>442</v>
      </c>
      <c r="D70" s="430">
        <v>0</v>
      </c>
      <c r="E70" s="430">
        <v>0</v>
      </c>
      <c r="F70" s="430"/>
      <c r="G70" s="430"/>
      <c r="H70" s="430"/>
      <c r="I70" s="430"/>
      <c r="J70" s="430"/>
      <c r="K70" s="430"/>
      <c r="L70" s="430"/>
      <c r="M70" s="430"/>
      <c r="N70" s="430"/>
      <c r="O70" s="430"/>
      <c r="P70" s="430">
        <f t="shared" si="5"/>
        <v>0</v>
      </c>
      <c r="Q70" s="430">
        <f t="shared" si="6"/>
        <v>0</v>
      </c>
      <c r="R70" s="430">
        <f t="shared" si="7"/>
        <v>0</v>
      </c>
    </row>
    <row r="71" spans="1:18" x14ac:dyDescent="0.25">
      <c r="A71" s="92"/>
      <c r="B71" s="370"/>
      <c r="C71" s="100" t="s">
        <v>91</v>
      </c>
      <c r="D71" s="430">
        <v>0</v>
      </c>
      <c r="E71" s="430">
        <v>0</v>
      </c>
      <c r="F71" s="430"/>
      <c r="G71" s="430"/>
      <c r="H71" s="430"/>
      <c r="I71" s="430"/>
      <c r="J71" s="430"/>
      <c r="K71" s="430"/>
      <c r="L71" s="430"/>
      <c r="M71" s="430"/>
      <c r="N71" s="430"/>
      <c r="O71" s="430"/>
      <c r="P71" s="430">
        <f t="shared" si="5"/>
        <v>0</v>
      </c>
      <c r="Q71" s="430">
        <f t="shared" si="6"/>
        <v>0</v>
      </c>
      <c r="R71" s="430">
        <f t="shared" si="7"/>
        <v>0</v>
      </c>
    </row>
    <row r="72" spans="1:18" x14ac:dyDescent="0.25">
      <c r="A72" s="92" t="s">
        <v>199</v>
      </c>
      <c r="B72" s="370" t="s">
        <v>209</v>
      </c>
      <c r="C72" s="101" t="s">
        <v>437</v>
      </c>
      <c r="D72" s="430">
        <v>147.24327</v>
      </c>
      <c r="E72" s="430">
        <v>365</v>
      </c>
      <c r="F72" s="430"/>
      <c r="G72" s="430"/>
      <c r="H72" s="430"/>
      <c r="I72" s="430"/>
      <c r="J72" s="430"/>
      <c r="K72" s="430"/>
      <c r="L72" s="430"/>
      <c r="M72" s="430"/>
      <c r="N72" s="430"/>
      <c r="O72" s="430"/>
      <c r="P72" s="430">
        <f t="shared" si="5"/>
        <v>147.24327</v>
      </c>
      <c r="Q72" s="430">
        <f t="shared" si="6"/>
        <v>147.24327</v>
      </c>
      <c r="R72" s="430">
        <f t="shared" si="7"/>
        <v>0</v>
      </c>
    </row>
    <row r="73" spans="1:18" x14ac:dyDescent="0.25">
      <c r="A73" s="92" t="s">
        <v>199</v>
      </c>
      <c r="B73" s="370" t="s">
        <v>210</v>
      </c>
      <c r="C73" s="101" t="s">
        <v>438</v>
      </c>
      <c r="D73" s="430">
        <v>232.78101000000001</v>
      </c>
      <c r="E73" s="430">
        <v>567</v>
      </c>
      <c r="F73" s="430"/>
      <c r="G73" s="430"/>
      <c r="H73" s="430"/>
      <c r="I73" s="430"/>
      <c r="J73" s="430"/>
      <c r="K73" s="430"/>
      <c r="L73" s="430"/>
      <c r="M73" s="430"/>
      <c r="N73" s="430"/>
      <c r="O73" s="430"/>
      <c r="P73" s="430">
        <f t="shared" si="5"/>
        <v>232.78101000000001</v>
      </c>
      <c r="Q73" s="430">
        <f t="shared" si="6"/>
        <v>232.78101000000001</v>
      </c>
      <c r="R73" s="430">
        <f t="shared" si="7"/>
        <v>0</v>
      </c>
    </row>
    <row r="74" spans="1:18" x14ac:dyDescent="0.25">
      <c r="A74" s="92" t="s">
        <v>199</v>
      </c>
      <c r="B74" s="370" t="s">
        <v>211</v>
      </c>
      <c r="C74" s="101" t="s">
        <v>90</v>
      </c>
      <c r="D74" s="430">
        <v>0</v>
      </c>
      <c r="E74" s="430">
        <v>0</v>
      </c>
      <c r="F74" s="430"/>
      <c r="G74" s="430"/>
      <c r="H74" s="430"/>
      <c r="I74" s="430"/>
      <c r="J74" s="430"/>
      <c r="K74" s="430"/>
      <c r="L74" s="430"/>
      <c r="M74" s="430"/>
      <c r="N74" s="430"/>
      <c r="O74" s="430"/>
      <c r="P74" s="430">
        <f t="shared" si="5"/>
        <v>0</v>
      </c>
      <c r="Q74" s="430">
        <f t="shared" si="6"/>
        <v>0</v>
      </c>
      <c r="R74" s="430">
        <f t="shared" si="7"/>
        <v>0</v>
      </c>
    </row>
    <row r="75" spans="1:18" x14ac:dyDescent="0.25">
      <c r="A75" s="92" t="s">
        <v>199</v>
      </c>
      <c r="B75" s="370" t="s">
        <v>212</v>
      </c>
      <c r="C75" s="101" t="s">
        <v>399</v>
      </c>
      <c r="D75" s="430">
        <v>0</v>
      </c>
      <c r="E75" s="430">
        <v>0</v>
      </c>
      <c r="F75" s="430"/>
      <c r="G75" s="430"/>
      <c r="H75" s="430"/>
      <c r="I75" s="430"/>
      <c r="J75" s="430"/>
      <c r="K75" s="430"/>
      <c r="L75" s="430"/>
      <c r="M75" s="430"/>
      <c r="N75" s="430"/>
      <c r="O75" s="430"/>
      <c r="P75" s="430">
        <f t="shared" si="5"/>
        <v>0</v>
      </c>
      <c r="Q75" s="430">
        <f t="shared" si="6"/>
        <v>0</v>
      </c>
      <c r="R75" s="430">
        <f t="shared" si="7"/>
        <v>0</v>
      </c>
    </row>
    <row r="76" spans="1:18" x14ac:dyDescent="0.25">
      <c r="A76" s="92"/>
      <c r="B76" s="370"/>
      <c r="C76" s="89" t="s">
        <v>213</v>
      </c>
      <c r="D76" s="430">
        <v>0</v>
      </c>
      <c r="E76" s="430">
        <v>0</v>
      </c>
      <c r="F76" s="430"/>
      <c r="G76" s="430"/>
      <c r="H76" s="430"/>
      <c r="I76" s="430"/>
      <c r="J76" s="430"/>
      <c r="K76" s="430"/>
      <c r="L76" s="430"/>
      <c r="M76" s="430"/>
      <c r="N76" s="430"/>
      <c r="O76" s="430"/>
      <c r="P76" s="430">
        <f t="shared" si="5"/>
        <v>0</v>
      </c>
      <c r="Q76" s="430">
        <f t="shared" si="6"/>
        <v>0</v>
      </c>
      <c r="R76" s="430">
        <f t="shared" si="7"/>
        <v>0</v>
      </c>
    </row>
    <row r="77" spans="1:18" x14ac:dyDescent="0.25">
      <c r="A77" s="92" t="s">
        <v>332</v>
      </c>
      <c r="B77" s="370" t="s">
        <v>215</v>
      </c>
      <c r="C77" s="102" t="s">
        <v>400</v>
      </c>
      <c r="D77" s="430">
        <v>0</v>
      </c>
      <c r="E77" s="430">
        <v>0</v>
      </c>
      <c r="F77" s="430"/>
      <c r="G77" s="430"/>
      <c r="H77" s="430"/>
      <c r="I77" s="430"/>
      <c r="J77" s="430"/>
      <c r="K77" s="430"/>
      <c r="L77" s="430"/>
      <c r="M77" s="430"/>
      <c r="N77" s="430"/>
      <c r="O77" s="430"/>
      <c r="P77" s="430">
        <f t="shared" si="5"/>
        <v>0</v>
      </c>
      <c r="Q77" s="430">
        <f t="shared" si="6"/>
        <v>0</v>
      </c>
      <c r="R77" s="430">
        <f t="shared" si="7"/>
        <v>0</v>
      </c>
    </row>
    <row r="78" spans="1:18" x14ac:dyDescent="0.25">
      <c r="A78" s="92" t="s">
        <v>338</v>
      </c>
      <c r="B78" s="370" t="s">
        <v>216</v>
      </c>
      <c r="C78" s="102" t="s">
        <v>401</v>
      </c>
      <c r="D78" s="430">
        <v>0</v>
      </c>
      <c r="E78" s="430">
        <v>0</v>
      </c>
      <c r="F78" s="430"/>
      <c r="G78" s="430"/>
      <c r="H78" s="430"/>
      <c r="I78" s="430"/>
      <c r="J78" s="430"/>
      <c r="K78" s="430"/>
      <c r="L78" s="430"/>
      <c r="M78" s="430"/>
      <c r="N78" s="430"/>
      <c r="O78" s="430"/>
      <c r="P78" s="430">
        <f t="shared" si="5"/>
        <v>0</v>
      </c>
      <c r="Q78" s="430">
        <f t="shared" si="6"/>
        <v>0</v>
      </c>
      <c r="R78" s="430">
        <f t="shared" si="7"/>
        <v>0</v>
      </c>
    </row>
    <row r="79" spans="1:18" x14ac:dyDescent="0.25">
      <c r="A79" s="92" t="s">
        <v>347</v>
      </c>
      <c r="B79" s="370" t="s">
        <v>217</v>
      </c>
      <c r="C79" s="102" t="s">
        <v>402</v>
      </c>
      <c r="D79" s="430">
        <v>0</v>
      </c>
      <c r="E79" s="430">
        <v>0</v>
      </c>
      <c r="F79" s="430"/>
      <c r="G79" s="430"/>
      <c r="H79" s="430"/>
      <c r="I79" s="430"/>
      <c r="J79" s="430"/>
      <c r="K79" s="430"/>
      <c r="L79" s="430"/>
      <c r="M79" s="430"/>
      <c r="N79" s="430"/>
      <c r="O79" s="430"/>
      <c r="P79" s="430">
        <f t="shared" si="5"/>
        <v>0</v>
      </c>
      <c r="Q79" s="430">
        <f t="shared" si="6"/>
        <v>0</v>
      </c>
      <c r="R79" s="430">
        <f t="shared" si="7"/>
        <v>0</v>
      </c>
    </row>
    <row r="80" spans="1:18" x14ac:dyDescent="0.25">
      <c r="A80" s="92" t="s">
        <v>214</v>
      </c>
      <c r="B80" s="370" t="s">
        <v>218</v>
      </c>
      <c r="C80" s="102" t="s">
        <v>403</v>
      </c>
      <c r="D80" s="430">
        <v>0</v>
      </c>
      <c r="E80" s="430">
        <v>0</v>
      </c>
      <c r="F80" s="430"/>
      <c r="G80" s="430"/>
      <c r="H80" s="430"/>
      <c r="I80" s="430"/>
      <c r="J80" s="430"/>
      <c r="K80" s="430"/>
      <c r="L80" s="430"/>
      <c r="M80" s="430"/>
      <c r="N80" s="430"/>
      <c r="O80" s="430"/>
      <c r="P80" s="430">
        <f t="shared" si="5"/>
        <v>0</v>
      </c>
      <c r="Q80" s="430">
        <f t="shared" si="6"/>
        <v>0</v>
      </c>
      <c r="R80" s="430">
        <f t="shared" si="7"/>
        <v>0</v>
      </c>
    </row>
    <row r="81" spans="1:18" x14ac:dyDescent="0.25">
      <c r="A81" s="92" t="s">
        <v>214</v>
      </c>
      <c r="B81" s="370" t="s">
        <v>219</v>
      </c>
      <c r="C81" s="102" t="s">
        <v>404</v>
      </c>
      <c r="D81" s="430">
        <v>20.412209999999998</v>
      </c>
      <c r="E81" s="430">
        <v>50</v>
      </c>
      <c r="F81" s="430"/>
      <c r="G81" s="430"/>
      <c r="H81" s="430"/>
      <c r="I81" s="430"/>
      <c r="J81" s="430"/>
      <c r="K81" s="430"/>
      <c r="L81" s="430"/>
      <c r="M81" s="430"/>
      <c r="N81" s="430"/>
      <c r="O81" s="430"/>
      <c r="P81" s="430">
        <f t="shared" si="5"/>
        <v>20.412209999999998</v>
      </c>
      <c r="Q81" s="430">
        <f t="shared" si="6"/>
        <v>20.412209999999998</v>
      </c>
      <c r="R81" s="430">
        <f t="shared" si="7"/>
        <v>0</v>
      </c>
    </row>
    <row r="82" spans="1:18" x14ac:dyDescent="0.25">
      <c r="A82" s="92" t="s">
        <v>214</v>
      </c>
      <c r="B82" s="370" t="s">
        <v>220</v>
      </c>
      <c r="C82" s="102" t="s">
        <v>405</v>
      </c>
      <c r="D82" s="430">
        <v>0.22725999999999999</v>
      </c>
      <c r="E82" s="430">
        <v>0</v>
      </c>
      <c r="F82" s="430"/>
      <c r="G82" s="430"/>
      <c r="H82" s="430"/>
      <c r="I82" s="430"/>
      <c r="J82" s="430"/>
      <c r="K82" s="430"/>
      <c r="L82" s="430"/>
      <c r="M82" s="430"/>
      <c r="N82" s="430"/>
      <c r="O82" s="430"/>
      <c r="P82" s="430">
        <f t="shared" si="5"/>
        <v>0.22725999999999999</v>
      </c>
      <c r="Q82" s="430">
        <f t="shared" si="6"/>
        <v>0.22725999999999999</v>
      </c>
      <c r="R82" s="430">
        <f t="shared" si="7"/>
        <v>0</v>
      </c>
    </row>
    <row r="83" spans="1:18" x14ac:dyDescent="0.25">
      <c r="A83" s="92"/>
      <c r="B83" s="370"/>
      <c r="C83" s="89" t="s">
        <v>426</v>
      </c>
      <c r="D83" s="430">
        <v>0</v>
      </c>
      <c r="E83" s="430"/>
      <c r="F83" s="430"/>
      <c r="G83" s="430"/>
      <c r="H83" s="430"/>
      <c r="I83" s="430"/>
      <c r="J83" s="430"/>
      <c r="K83" s="430"/>
      <c r="L83" s="430"/>
      <c r="M83" s="430"/>
      <c r="N83" s="430"/>
      <c r="O83" s="430"/>
      <c r="P83" s="430">
        <f t="shared" si="5"/>
        <v>0</v>
      </c>
      <c r="Q83" s="430">
        <f t="shared" si="6"/>
        <v>0</v>
      </c>
      <c r="R83" s="430">
        <f t="shared" si="7"/>
        <v>0</v>
      </c>
    </row>
    <row r="84" spans="1:18" x14ac:dyDescent="0.25">
      <c r="A84" s="92"/>
      <c r="B84" s="370"/>
      <c r="C84" s="100" t="s">
        <v>93</v>
      </c>
      <c r="D84" s="430">
        <v>0</v>
      </c>
      <c r="E84" s="430"/>
      <c r="F84" s="430"/>
      <c r="G84" s="430"/>
      <c r="H84" s="430"/>
      <c r="I84" s="430"/>
      <c r="J84" s="430"/>
      <c r="K84" s="430"/>
      <c r="L84" s="430"/>
      <c r="M84" s="430"/>
      <c r="N84" s="430"/>
      <c r="O84" s="430"/>
      <c r="P84" s="430">
        <f t="shared" si="5"/>
        <v>0</v>
      </c>
      <c r="Q84" s="430">
        <f t="shared" si="6"/>
        <v>0</v>
      </c>
      <c r="R84" s="430">
        <f t="shared" si="7"/>
        <v>0</v>
      </c>
    </row>
    <row r="85" spans="1:18" x14ac:dyDescent="0.25">
      <c r="A85" s="92" t="s">
        <v>337</v>
      </c>
      <c r="B85" s="370" t="s">
        <v>221</v>
      </c>
      <c r="C85" s="103" t="s">
        <v>94</v>
      </c>
      <c r="D85" s="430">
        <v>104.13306</v>
      </c>
      <c r="E85" s="430">
        <v>211</v>
      </c>
      <c r="F85" s="430"/>
      <c r="G85" s="430"/>
      <c r="H85" s="430"/>
      <c r="I85" s="430"/>
      <c r="J85" s="430"/>
      <c r="K85" s="430"/>
      <c r="L85" s="430"/>
      <c r="M85" s="430"/>
      <c r="N85" s="430"/>
      <c r="O85" s="430"/>
      <c r="P85" s="430">
        <f t="shared" si="5"/>
        <v>104.13306</v>
      </c>
      <c r="Q85" s="430">
        <f t="shared" si="6"/>
        <v>104.13306</v>
      </c>
      <c r="R85" s="430">
        <f t="shared" si="7"/>
        <v>0</v>
      </c>
    </row>
    <row r="86" spans="1:18" x14ac:dyDescent="0.25">
      <c r="A86" s="92" t="s">
        <v>337</v>
      </c>
      <c r="B86" s="370" t="s">
        <v>222</v>
      </c>
      <c r="C86" s="103" t="s">
        <v>443</v>
      </c>
      <c r="D86" s="430">
        <v>0</v>
      </c>
      <c r="E86" s="430">
        <v>0</v>
      </c>
      <c r="F86" s="430"/>
      <c r="G86" s="430"/>
      <c r="H86" s="430"/>
      <c r="I86" s="430"/>
      <c r="J86" s="430"/>
      <c r="K86" s="430"/>
      <c r="L86" s="430"/>
      <c r="M86" s="430"/>
      <c r="N86" s="430"/>
      <c r="O86" s="430"/>
      <c r="P86" s="430">
        <f t="shared" si="5"/>
        <v>0</v>
      </c>
      <c r="Q86" s="430">
        <f t="shared" si="6"/>
        <v>0</v>
      </c>
      <c r="R86" s="430">
        <f t="shared" si="7"/>
        <v>0</v>
      </c>
    </row>
    <row r="87" spans="1:18" x14ac:dyDescent="0.25">
      <c r="A87" s="92" t="s">
        <v>337</v>
      </c>
      <c r="B87" s="370" t="s">
        <v>223</v>
      </c>
      <c r="C87" s="103" t="s">
        <v>96</v>
      </c>
      <c r="D87" s="430">
        <v>6.7980700000000018</v>
      </c>
      <c r="E87" s="430">
        <v>9</v>
      </c>
      <c r="F87" s="430"/>
      <c r="G87" s="430"/>
      <c r="H87" s="430"/>
      <c r="I87" s="430"/>
      <c r="J87" s="430"/>
      <c r="K87" s="430"/>
      <c r="L87" s="430"/>
      <c r="M87" s="430"/>
      <c r="N87" s="430"/>
      <c r="O87" s="430"/>
      <c r="P87" s="430">
        <f t="shared" si="5"/>
        <v>6.7980700000000018</v>
      </c>
      <c r="Q87" s="430">
        <f t="shared" si="6"/>
        <v>6.7980700000000018</v>
      </c>
      <c r="R87" s="430">
        <f t="shared" si="7"/>
        <v>0</v>
      </c>
    </row>
    <row r="88" spans="1:18" x14ac:dyDescent="0.25">
      <c r="A88" s="92"/>
      <c r="B88" s="370"/>
      <c r="C88" s="98" t="s">
        <v>444</v>
      </c>
      <c r="D88" s="430">
        <v>0</v>
      </c>
      <c r="E88" s="430"/>
      <c r="F88" s="430"/>
      <c r="G88" s="430"/>
      <c r="H88" s="430"/>
      <c r="I88" s="430"/>
      <c r="J88" s="430"/>
      <c r="K88" s="430"/>
      <c r="L88" s="430"/>
      <c r="M88" s="430"/>
      <c r="N88" s="430"/>
      <c r="O88" s="430"/>
      <c r="P88" s="430">
        <f t="shared" si="5"/>
        <v>0</v>
      </c>
      <c r="Q88" s="430">
        <f t="shared" si="6"/>
        <v>0</v>
      </c>
      <c r="R88" s="430">
        <f t="shared" si="7"/>
        <v>0</v>
      </c>
    </row>
    <row r="89" spans="1:18" x14ac:dyDescent="0.25">
      <c r="A89" s="92" t="s">
        <v>330</v>
      </c>
      <c r="B89" s="370" t="s">
        <v>224</v>
      </c>
      <c r="C89" s="103" t="s">
        <v>98</v>
      </c>
      <c r="D89" s="430">
        <v>0</v>
      </c>
      <c r="E89" s="430">
        <v>0</v>
      </c>
      <c r="F89" s="430"/>
      <c r="G89" s="430"/>
      <c r="H89" s="430"/>
      <c r="I89" s="430"/>
      <c r="J89" s="430"/>
      <c r="K89" s="430"/>
      <c r="L89" s="430"/>
      <c r="M89" s="430"/>
      <c r="N89" s="430"/>
      <c r="O89" s="430"/>
      <c r="P89" s="430">
        <f t="shared" si="5"/>
        <v>0</v>
      </c>
      <c r="Q89" s="430">
        <f t="shared" si="6"/>
        <v>0</v>
      </c>
      <c r="R89" s="430">
        <f t="shared" si="7"/>
        <v>0</v>
      </c>
    </row>
    <row r="90" spans="1:18" x14ac:dyDescent="0.25">
      <c r="A90" s="92" t="s">
        <v>330</v>
      </c>
      <c r="B90" s="370" t="s">
        <v>225</v>
      </c>
      <c r="C90" s="103" t="s">
        <v>99</v>
      </c>
      <c r="D90" s="430">
        <v>0</v>
      </c>
      <c r="E90" s="430">
        <v>0</v>
      </c>
      <c r="F90" s="430"/>
      <c r="G90" s="430"/>
      <c r="H90" s="430"/>
      <c r="I90" s="430"/>
      <c r="J90" s="430"/>
      <c r="K90" s="430"/>
      <c r="L90" s="430"/>
      <c r="M90" s="430"/>
      <c r="N90" s="430"/>
      <c r="O90" s="430"/>
      <c r="P90" s="430">
        <f t="shared" si="5"/>
        <v>0</v>
      </c>
      <c r="Q90" s="430">
        <f t="shared" si="6"/>
        <v>0</v>
      </c>
      <c r="R90" s="430">
        <f t="shared" si="7"/>
        <v>0</v>
      </c>
    </row>
    <row r="91" spans="1:18" x14ac:dyDescent="0.25">
      <c r="A91" s="92" t="s">
        <v>330</v>
      </c>
      <c r="B91" s="370" t="s">
        <v>226</v>
      </c>
      <c r="C91" s="103" t="s">
        <v>445</v>
      </c>
      <c r="D91" s="430">
        <v>0</v>
      </c>
      <c r="E91" s="430">
        <v>0</v>
      </c>
      <c r="F91" s="430"/>
      <c r="G91" s="430"/>
      <c r="H91" s="430"/>
      <c r="I91" s="430"/>
      <c r="J91" s="430"/>
      <c r="K91" s="430"/>
      <c r="L91" s="430"/>
      <c r="M91" s="430"/>
      <c r="N91" s="430"/>
      <c r="O91" s="430"/>
      <c r="P91" s="430">
        <f t="shared" si="5"/>
        <v>0</v>
      </c>
      <c r="Q91" s="430">
        <f t="shared" si="6"/>
        <v>0</v>
      </c>
      <c r="R91" s="430">
        <f t="shared" si="7"/>
        <v>0</v>
      </c>
    </row>
    <row r="92" spans="1:18" x14ac:dyDescent="0.25">
      <c r="A92" s="92"/>
      <c r="B92" s="370"/>
      <c r="C92" s="89" t="s">
        <v>446</v>
      </c>
      <c r="D92" s="430">
        <v>0</v>
      </c>
      <c r="E92" s="430"/>
      <c r="F92" s="430"/>
      <c r="G92" s="430"/>
      <c r="H92" s="430"/>
      <c r="I92" s="430"/>
      <c r="J92" s="430"/>
      <c r="K92" s="430"/>
      <c r="L92" s="430"/>
      <c r="M92" s="430"/>
      <c r="N92" s="430"/>
      <c r="O92" s="430"/>
      <c r="P92" s="430">
        <f t="shared" si="5"/>
        <v>0</v>
      </c>
      <c r="Q92" s="430">
        <f t="shared" si="6"/>
        <v>0</v>
      </c>
      <c r="R92" s="430">
        <f t="shared" si="7"/>
        <v>0</v>
      </c>
    </row>
    <row r="93" spans="1:18" x14ac:dyDescent="0.25">
      <c r="A93" s="92" t="s">
        <v>227</v>
      </c>
      <c r="B93" s="370" t="s">
        <v>228</v>
      </c>
      <c r="C93" s="103" t="s">
        <v>450</v>
      </c>
      <c r="D93" s="430">
        <v>13</v>
      </c>
      <c r="E93" s="430">
        <v>29</v>
      </c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>
        <f t="shared" si="5"/>
        <v>13</v>
      </c>
      <c r="Q93" s="430">
        <f t="shared" si="6"/>
        <v>13</v>
      </c>
      <c r="R93" s="430">
        <f t="shared" si="7"/>
        <v>0</v>
      </c>
    </row>
    <row r="94" spans="1:18" x14ac:dyDescent="0.25">
      <c r="A94" s="92" t="s">
        <v>227</v>
      </c>
      <c r="B94" s="370" t="s">
        <v>229</v>
      </c>
      <c r="C94" s="103" t="s">
        <v>449</v>
      </c>
      <c r="D94" s="430">
        <v>777.20686000000001</v>
      </c>
      <c r="E94" s="430">
        <v>955</v>
      </c>
      <c r="F94" s="430"/>
      <c r="G94" s="430"/>
      <c r="H94" s="430"/>
      <c r="I94" s="430"/>
      <c r="J94" s="430"/>
      <c r="K94" s="430"/>
      <c r="L94" s="430"/>
      <c r="M94" s="430"/>
      <c r="N94" s="430"/>
      <c r="O94" s="430"/>
      <c r="P94" s="430">
        <f t="shared" si="5"/>
        <v>777.20686000000001</v>
      </c>
      <c r="Q94" s="430">
        <f t="shared" si="6"/>
        <v>777.20686000000001</v>
      </c>
      <c r="R94" s="430">
        <f t="shared" si="7"/>
        <v>0</v>
      </c>
    </row>
    <row r="95" spans="1:18" x14ac:dyDescent="0.25">
      <c r="A95" s="92" t="s">
        <v>227</v>
      </c>
      <c r="B95" s="370" t="s">
        <v>230</v>
      </c>
      <c r="C95" s="103" t="s">
        <v>451</v>
      </c>
      <c r="D95" s="430">
        <v>0</v>
      </c>
      <c r="E95" s="430">
        <v>0</v>
      </c>
      <c r="F95" s="430"/>
      <c r="G95" s="430"/>
      <c r="H95" s="430"/>
      <c r="I95" s="430"/>
      <c r="J95" s="430"/>
      <c r="K95" s="430"/>
      <c r="L95" s="430"/>
      <c r="M95" s="430"/>
      <c r="N95" s="430"/>
      <c r="O95" s="430"/>
      <c r="P95" s="430">
        <f t="shared" si="5"/>
        <v>0</v>
      </c>
      <c r="Q95" s="430">
        <f t="shared" si="6"/>
        <v>0</v>
      </c>
      <c r="R95" s="430">
        <f t="shared" si="7"/>
        <v>0</v>
      </c>
    </row>
    <row r="96" spans="1:18" x14ac:dyDescent="0.25">
      <c r="A96" s="92" t="s">
        <v>330</v>
      </c>
      <c r="B96" s="370" t="s">
        <v>231</v>
      </c>
      <c r="C96" s="103" t="s">
        <v>448</v>
      </c>
      <c r="D96" s="430">
        <v>509</v>
      </c>
      <c r="E96" s="430">
        <v>1201</v>
      </c>
      <c r="F96" s="430"/>
      <c r="G96" s="430"/>
      <c r="H96" s="430"/>
      <c r="I96" s="430"/>
      <c r="J96" s="430"/>
      <c r="K96" s="430"/>
      <c r="L96" s="430"/>
      <c r="M96" s="430"/>
      <c r="N96" s="430"/>
      <c r="O96" s="430"/>
      <c r="P96" s="430">
        <f t="shared" si="5"/>
        <v>509</v>
      </c>
      <c r="Q96" s="430">
        <f t="shared" si="6"/>
        <v>509</v>
      </c>
      <c r="R96" s="430">
        <f t="shared" si="7"/>
        <v>0</v>
      </c>
    </row>
    <row r="97" spans="1:18" x14ac:dyDescent="0.25">
      <c r="A97" s="372" t="s">
        <v>330</v>
      </c>
      <c r="B97" s="101" t="s">
        <v>232</v>
      </c>
      <c r="C97" s="103" t="s">
        <v>447</v>
      </c>
      <c r="D97" s="430">
        <v>950</v>
      </c>
      <c r="E97" s="430">
        <v>1850</v>
      </c>
      <c r="F97" s="430"/>
      <c r="G97" s="430"/>
      <c r="H97" s="430"/>
      <c r="I97" s="430"/>
      <c r="J97" s="430"/>
      <c r="K97" s="430"/>
      <c r="L97" s="430"/>
      <c r="M97" s="430"/>
      <c r="N97" s="430"/>
      <c r="O97" s="430"/>
      <c r="P97" s="430">
        <f t="shared" si="5"/>
        <v>950</v>
      </c>
      <c r="Q97" s="430">
        <f t="shared" si="6"/>
        <v>950</v>
      </c>
      <c r="R97" s="430">
        <f t="shared" si="7"/>
        <v>0</v>
      </c>
    </row>
    <row r="98" spans="1:18" x14ac:dyDescent="0.25">
      <c r="A98" s="92"/>
      <c r="B98" s="370"/>
      <c r="C98" s="89" t="s">
        <v>233</v>
      </c>
      <c r="D98" s="430">
        <v>0</v>
      </c>
      <c r="E98" s="430"/>
      <c r="F98" s="430"/>
      <c r="G98" s="430"/>
      <c r="H98" s="430"/>
      <c r="I98" s="430"/>
      <c r="J98" s="430"/>
      <c r="K98" s="430"/>
      <c r="L98" s="430"/>
      <c r="M98" s="430"/>
      <c r="N98" s="430"/>
      <c r="O98" s="430"/>
      <c r="P98" s="430">
        <f t="shared" si="5"/>
        <v>0</v>
      </c>
      <c r="Q98" s="430">
        <f t="shared" si="6"/>
        <v>0</v>
      </c>
      <c r="R98" s="430">
        <f t="shared" si="7"/>
        <v>0</v>
      </c>
    </row>
    <row r="99" spans="1:18" x14ac:dyDescent="0.25">
      <c r="A99" s="92" t="s">
        <v>214</v>
      </c>
      <c r="B99" s="370" t="s">
        <v>235</v>
      </c>
      <c r="C99" s="102" t="s">
        <v>406</v>
      </c>
      <c r="D99" s="430">
        <v>1.8298400000000044</v>
      </c>
      <c r="E99" s="430">
        <v>3</v>
      </c>
      <c r="F99" s="430"/>
      <c r="G99" s="430"/>
      <c r="H99" s="430"/>
      <c r="I99" s="430"/>
      <c r="J99" s="430"/>
      <c r="K99" s="430"/>
      <c r="L99" s="430"/>
      <c r="M99" s="430"/>
      <c r="N99" s="430"/>
      <c r="O99" s="430"/>
      <c r="P99" s="430">
        <f t="shared" si="5"/>
        <v>1.8298400000000044</v>
      </c>
      <c r="Q99" s="430">
        <f t="shared" si="6"/>
        <v>1.8298400000000044</v>
      </c>
      <c r="R99" s="430">
        <f t="shared" si="7"/>
        <v>0</v>
      </c>
    </row>
    <row r="100" spans="1:18" x14ac:dyDescent="0.25">
      <c r="A100" s="92" t="s">
        <v>234</v>
      </c>
      <c r="B100" s="370" t="s">
        <v>236</v>
      </c>
      <c r="C100" s="102" t="s">
        <v>407</v>
      </c>
      <c r="D100" s="430">
        <v>-525</v>
      </c>
      <c r="E100" s="430">
        <v>-1364</v>
      </c>
      <c r="F100" s="430"/>
      <c r="G100" s="430"/>
      <c r="H100" s="430"/>
      <c r="I100" s="430"/>
      <c r="J100" s="430"/>
      <c r="K100" s="430"/>
      <c r="L100" s="430"/>
      <c r="M100" s="430"/>
      <c r="N100" s="430"/>
      <c r="O100" s="430"/>
      <c r="P100" s="430">
        <f t="shared" ref="P100:P107" si="8">IF(Mese=1,Q100,Q100-CHOOSE(Mese-1,D100,E100,F100,G100,H100,I100,J100,K100,L100,M100,N100,O100))</f>
        <v>-525</v>
      </c>
      <c r="Q100" s="430">
        <f t="shared" ref="Q100:Q131" si="9">CHOOSE(Mese,D100,E100,F100,G100,H100,I100,J100,K100,L100,M100,N100,O100)</f>
        <v>-525</v>
      </c>
      <c r="R100" s="430">
        <f t="shared" si="7"/>
        <v>0</v>
      </c>
    </row>
    <row r="101" spans="1:18" x14ac:dyDescent="0.25">
      <c r="A101" s="92"/>
      <c r="B101" s="370"/>
      <c r="C101" s="89" t="s">
        <v>237</v>
      </c>
      <c r="D101" s="430">
        <v>0</v>
      </c>
      <c r="E101" s="430"/>
      <c r="F101" s="430"/>
      <c r="G101" s="430"/>
      <c r="H101" s="430"/>
      <c r="I101" s="430"/>
      <c r="J101" s="430"/>
      <c r="K101" s="430"/>
      <c r="L101" s="430"/>
      <c r="M101" s="430"/>
      <c r="N101" s="430"/>
      <c r="O101" s="430"/>
      <c r="P101" s="430">
        <f t="shared" si="8"/>
        <v>0</v>
      </c>
      <c r="Q101" s="430">
        <f t="shared" si="9"/>
        <v>0</v>
      </c>
      <c r="R101" s="430">
        <f t="shared" si="7"/>
        <v>0</v>
      </c>
    </row>
    <row r="102" spans="1:18" x14ac:dyDescent="0.25">
      <c r="A102" s="92" t="s">
        <v>331</v>
      </c>
      <c r="B102" s="370" t="s">
        <v>239</v>
      </c>
      <c r="C102" s="102" t="s">
        <v>240</v>
      </c>
      <c r="D102" s="430">
        <v>360</v>
      </c>
      <c r="E102" s="430">
        <v>720</v>
      </c>
      <c r="F102" s="430"/>
      <c r="G102" s="430"/>
      <c r="H102" s="430"/>
      <c r="I102" s="430"/>
      <c r="J102" s="430"/>
      <c r="K102" s="430"/>
      <c r="L102" s="430"/>
      <c r="M102" s="430"/>
      <c r="N102" s="430"/>
      <c r="O102" s="430"/>
      <c r="P102" s="430">
        <f t="shared" si="8"/>
        <v>360</v>
      </c>
      <c r="Q102" s="430">
        <f t="shared" si="9"/>
        <v>360</v>
      </c>
      <c r="R102" s="430">
        <f t="shared" si="7"/>
        <v>0</v>
      </c>
    </row>
    <row r="103" spans="1:18" x14ac:dyDescent="0.25">
      <c r="A103" s="92" t="s">
        <v>347</v>
      </c>
      <c r="B103" s="370" t="s">
        <v>241</v>
      </c>
      <c r="C103" s="102" t="s">
        <v>242</v>
      </c>
      <c r="D103" s="430">
        <v>210</v>
      </c>
      <c r="E103" s="430">
        <v>410</v>
      </c>
      <c r="F103" s="430"/>
      <c r="G103" s="430"/>
      <c r="H103" s="430"/>
      <c r="I103" s="430"/>
      <c r="J103" s="430"/>
      <c r="K103" s="430"/>
      <c r="L103" s="430"/>
      <c r="M103" s="430"/>
      <c r="N103" s="430"/>
      <c r="O103" s="430"/>
      <c r="P103" s="430">
        <f t="shared" si="8"/>
        <v>210</v>
      </c>
      <c r="Q103" s="430">
        <f t="shared" si="9"/>
        <v>210</v>
      </c>
      <c r="R103" s="430">
        <f t="shared" si="7"/>
        <v>0</v>
      </c>
    </row>
    <row r="104" spans="1:18" x14ac:dyDescent="0.25">
      <c r="A104" s="92" t="s">
        <v>238</v>
      </c>
      <c r="B104" s="370" t="s">
        <v>243</v>
      </c>
      <c r="C104" s="102" t="s">
        <v>244</v>
      </c>
      <c r="D104" s="430">
        <v>-45</v>
      </c>
      <c r="E104" s="430">
        <v>-234</v>
      </c>
      <c r="F104" s="430"/>
      <c r="G104" s="430"/>
      <c r="H104" s="430"/>
      <c r="I104" s="430"/>
      <c r="J104" s="430"/>
      <c r="K104" s="430"/>
      <c r="L104" s="430"/>
      <c r="M104" s="430"/>
      <c r="N104" s="430"/>
      <c r="O104" s="430"/>
      <c r="P104" s="430">
        <f t="shared" si="8"/>
        <v>-45</v>
      </c>
      <c r="Q104" s="430">
        <f t="shared" si="9"/>
        <v>-45</v>
      </c>
      <c r="R104" s="430">
        <f t="shared" si="7"/>
        <v>0</v>
      </c>
    </row>
    <row r="105" spans="1:18" x14ac:dyDescent="0.25">
      <c r="A105" s="92" t="s">
        <v>345</v>
      </c>
      <c r="B105" s="370" t="s">
        <v>245</v>
      </c>
      <c r="C105" s="102" t="s">
        <v>246</v>
      </c>
      <c r="D105" s="430">
        <v>0</v>
      </c>
      <c r="E105" s="430">
        <v>0</v>
      </c>
      <c r="F105" s="430"/>
      <c r="G105" s="430"/>
      <c r="H105" s="430"/>
      <c r="I105" s="430"/>
      <c r="J105" s="430"/>
      <c r="K105" s="430"/>
      <c r="L105" s="430"/>
      <c r="M105" s="430"/>
      <c r="N105" s="430"/>
      <c r="O105" s="430"/>
      <c r="P105" s="430">
        <f t="shared" si="8"/>
        <v>0</v>
      </c>
      <c r="Q105" s="430">
        <f t="shared" si="9"/>
        <v>0</v>
      </c>
      <c r="R105" s="430">
        <f t="shared" si="7"/>
        <v>0</v>
      </c>
    </row>
    <row r="106" spans="1:18" x14ac:dyDescent="0.25">
      <c r="A106" s="92"/>
      <c r="B106" s="370"/>
      <c r="C106" s="89" t="s">
        <v>247</v>
      </c>
      <c r="D106" s="430">
        <v>0</v>
      </c>
      <c r="E106" s="430">
        <v>0</v>
      </c>
      <c r="F106" s="430"/>
      <c r="G106" s="430"/>
      <c r="H106" s="430"/>
      <c r="I106" s="430"/>
      <c r="J106" s="430"/>
      <c r="K106" s="430"/>
      <c r="L106" s="430"/>
      <c r="M106" s="430"/>
      <c r="N106" s="430"/>
      <c r="O106" s="430"/>
      <c r="P106" s="430">
        <f t="shared" si="8"/>
        <v>0</v>
      </c>
      <c r="Q106" s="430">
        <f t="shared" si="9"/>
        <v>0</v>
      </c>
      <c r="R106" s="430">
        <f t="shared" si="7"/>
        <v>0</v>
      </c>
    </row>
    <row r="107" spans="1:18" x14ac:dyDescent="0.25">
      <c r="A107" s="92" t="s">
        <v>248</v>
      </c>
      <c r="B107" s="92" t="s">
        <v>249</v>
      </c>
      <c r="C107" s="92" t="s">
        <v>247</v>
      </c>
      <c r="D107" s="430">
        <v>50</v>
      </c>
      <c r="E107" s="430">
        <v>60</v>
      </c>
      <c r="F107" s="430"/>
      <c r="G107" s="430"/>
      <c r="H107" s="430"/>
      <c r="I107" s="430"/>
      <c r="J107" s="430"/>
      <c r="K107" s="430"/>
      <c r="L107" s="430"/>
      <c r="M107" s="430"/>
      <c r="N107" s="430"/>
      <c r="O107" s="430"/>
      <c r="P107" s="430">
        <f t="shared" si="8"/>
        <v>50</v>
      </c>
      <c r="Q107" s="430">
        <f t="shared" si="9"/>
        <v>50</v>
      </c>
      <c r="R107" s="430">
        <f t="shared" si="7"/>
        <v>0</v>
      </c>
    </row>
    <row r="108" spans="1:18" s="428" customFormat="1" x14ac:dyDescent="0.25">
      <c r="A108" s="379"/>
      <c r="B108" s="379"/>
      <c r="C108" s="379" t="s">
        <v>353</v>
      </c>
      <c r="D108" s="432"/>
      <c r="E108" s="432"/>
      <c r="F108" s="432"/>
      <c r="G108" s="432"/>
      <c r="H108" s="432"/>
      <c r="I108" s="432"/>
      <c r="J108" s="432"/>
      <c r="K108" s="432"/>
      <c r="L108" s="432"/>
      <c r="M108" s="432"/>
      <c r="N108" s="432"/>
      <c r="O108" s="432"/>
      <c r="P108" s="432"/>
      <c r="Q108" s="432">
        <f t="shared" si="9"/>
        <v>0</v>
      </c>
      <c r="R108" s="432" t="e">
        <f t="shared" ref="R108:R141" si="10">CHOOSE(Mese-1,D108,E108,F108,G108,H108,I108,J108,K108,L108,M108,N108,O108)</f>
        <v>#VALUE!</v>
      </c>
    </row>
    <row r="109" spans="1:18" x14ac:dyDescent="0.25">
      <c r="A109" s="92" t="s">
        <v>250</v>
      </c>
      <c r="B109" s="92" t="s">
        <v>250</v>
      </c>
      <c r="C109" s="104" t="s">
        <v>45</v>
      </c>
      <c r="D109" s="430">
        <v>945.5331000000001</v>
      </c>
      <c r="E109" s="430">
        <v>1950</v>
      </c>
      <c r="F109" s="430"/>
      <c r="G109" s="430"/>
      <c r="H109" s="430"/>
      <c r="I109" s="430"/>
      <c r="J109" s="430"/>
      <c r="K109" s="430"/>
      <c r="L109" s="430"/>
      <c r="M109" s="430"/>
      <c r="N109" s="430"/>
      <c r="O109" s="430"/>
      <c r="P109" s="430">
        <f t="shared" ref="P109:P141" si="11">CHOOSE(Mese,D109,E109,F109,G109,H109,I109,J109,K109,L109,M109,N109,O109)</f>
        <v>945.5331000000001</v>
      </c>
      <c r="Q109" s="430">
        <f t="shared" si="9"/>
        <v>945.5331000000001</v>
      </c>
      <c r="R109" s="430" t="e">
        <f t="shared" si="10"/>
        <v>#VALUE!</v>
      </c>
    </row>
    <row r="110" spans="1:18" x14ac:dyDescent="0.25">
      <c r="A110" s="92" t="s">
        <v>252</v>
      </c>
      <c r="B110" s="92" t="s">
        <v>252</v>
      </c>
      <c r="C110" s="105" t="s">
        <v>253</v>
      </c>
      <c r="D110" s="430">
        <v>22445.924170000013</v>
      </c>
      <c r="E110" s="430">
        <v>27464.79469599999</v>
      </c>
      <c r="F110" s="430"/>
      <c r="G110" s="430"/>
      <c r="H110" s="430"/>
      <c r="I110" s="430"/>
      <c r="J110" s="430"/>
      <c r="K110" s="430"/>
      <c r="L110" s="430"/>
      <c r="M110" s="430"/>
      <c r="N110" s="430"/>
      <c r="O110" s="430"/>
      <c r="P110" s="430">
        <f t="shared" si="11"/>
        <v>22445.924170000013</v>
      </c>
      <c r="Q110" s="430">
        <f t="shared" si="9"/>
        <v>22445.924170000013</v>
      </c>
      <c r="R110" s="430" t="e">
        <f t="shared" si="10"/>
        <v>#VALUE!</v>
      </c>
    </row>
    <row r="111" spans="1:18" x14ac:dyDescent="0.25">
      <c r="A111" s="92" t="s">
        <v>254</v>
      </c>
      <c r="B111" s="92" t="s">
        <v>254</v>
      </c>
      <c r="C111" s="105" t="s">
        <v>255</v>
      </c>
      <c r="D111" s="430">
        <v>-1740</v>
      </c>
      <c r="E111" s="430">
        <v>-1769.63</v>
      </c>
      <c r="F111" s="430"/>
      <c r="G111" s="430"/>
      <c r="H111" s="430"/>
      <c r="I111" s="430"/>
      <c r="J111" s="430"/>
      <c r="K111" s="430"/>
      <c r="L111" s="430"/>
      <c r="M111" s="430"/>
      <c r="N111" s="430"/>
      <c r="O111" s="430"/>
      <c r="P111" s="430">
        <f t="shared" si="11"/>
        <v>-1740</v>
      </c>
      <c r="Q111" s="430">
        <f t="shared" si="9"/>
        <v>-1740</v>
      </c>
      <c r="R111" s="430" t="e">
        <f t="shared" si="10"/>
        <v>#VALUE!</v>
      </c>
    </row>
    <row r="112" spans="1:18" x14ac:dyDescent="0.25">
      <c r="A112" s="92" t="s">
        <v>256</v>
      </c>
      <c r="B112" s="92" t="s">
        <v>256</v>
      </c>
      <c r="C112" s="105" t="s">
        <v>257</v>
      </c>
      <c r="D112" s="430">
        <v>3064</v>
      </c>
      <c r="E112" s="430">
        <v>3098</v>
      </c>
      <c r="F112" s="430"/>
      <c r="G112" s="430"/>
      <c r="H112" s="430"/>
      <c r="I112" s="430"/>
      <c r="J112" s="430"/>
      <c r="K112" s="430"/>
      <c r="L112" s="430"/>
      <c r="M112" s="430"/>
      <c r="N112" s="430"/>
      <c r="O112" s="430"/>
      <c r="P112" s="430">
        <f t="shared" si="11"/>
        <v>3064</v>
      </c>
      <c r="Q112" s="430">
        <f t="shared" si="9"/>
        <v>3064</v>
      </c>
      <c r="R112" s="430" t="e">
        <f t="shared" si="10"/>
        <v>#VALUE!</v>
      </c>
    </row>
    <row r="113" spans="1:18" x14ac:dyDescent="0.25">
      <c r="A113" s="92" t="s">
        <v>258</v>
      </c>
      <c r="B113" s="92" t="s">
        <v>258</v>
      </c>
      <c r="C113" s="105" t="s">
        <v>259</v>
      </c>
      <c r="D113" s="430">
        <v>439.99846000000002</v>
      </c>
      <c r="E113" s="430">
        <v>809</v>
      </c>
      <c r="F113" s="430"/>
      <c r="G113" s="430"/>
      <c r="H113" s="430"/>
      <c r="I113" s="430"/>
      <c r="J113" s="430"/>
      <c r="K113" s="430"/>
      <c r="L113" s="430"/>
      <c r="M113" s="430"/>
      <c r="N113" s="430"/>
      <c r="O113" s="430"/>
      <c r="P113" s="430">
        <f t="shared" si="11"/>
        <v>439.99846000000002</v>
      </c>
      <c r="Q113" s="430">
        <f t="shared" si="9"/>
        <v>439.99846000000002</v>
      </c>
      <c r="R113" s="430" t="e">
        <f t="shared" si="10"/>
        <v>#VALUE!</v>
      </c>
    </row>
    <row r="114" spans="1:18" x14ac:dyDescent="0.25">
      <c r="A114" s="92" t="s">
        <v>260</v>
      </c>
      <c r="B114" s="92" t="s">
        <v>260</v>
      </c>
      <c r="C114" s="105" t="s">
        <v>261</v>
      </c>
      <c r="D114" s="430">
        <v>2925.2716700000001</v>
      </c>
      <c r="E114" s="430">
        <v>1433.75</v>
      </c>
      <c r="F114" s="430"/>
      <c r="G114" s="430"/>
      <c r="H114" s="430"/>
      <c r="I114" s="430"/>
      <c r="J114" s="430"/>
      <c r="K114" s="430"/>
      <c r="L114" s="430"/>
      <c r="M114" s="430"/>
      <c r="N114" s="430"/>
      <c r="O114" s="430"/>
      <c r="P114" s="430">
        <f t="shared" si="11"/>
        <v>2925.2716700000001</v>
      </c>
      <c r="Q114" s="430">
        <f t="shared" si="9"/>
        <v>2925.2716700000001</v>
      </c>
      <c r="R114" s="430" t="e">
        <f t="shared" si="10"/>
        <v>#VALUE!</v>
      </c>
    </row>
    <row r="115" spans="1:18" x14ac:dyDescent="0.25">
      <c r="A115" s="92" t="s">
        <v>262</v>
      </c>
      <c r="B115" s="92" t="s">
        <v>262</v>
      </c>
      <c r="C115" s="105" t="s">
        <v>263</v>
      </c>
      <c r="D115" s="430">
        <v>0</v>
      </c>
      <c r="E115" s="430">
        <v>0</v>
      </c>
      <c r="F115" s="430"/>
      <c r="G115" s="430"/>
      <c r="H115" s="430"/>
      <c r="I115" s="430"/>
      <c r="J115" s="430"/>
      <c r="K115" s="430"/>
      <c r="L115" s="430"/>
      <c r="M115" s="430"/>
      <c r="N115" s="430"/>
      <c r="O115" s="430"/>
      <c r="P115" s="430">
        <f t="shared" si="11"/>
        <v>0</v>
      </c>
      <c r="Q115" s="430">
        <f t="shared" si="9"/>
        <v>0</v>
      </c>
      <c r="R115" s="430" t="e">
        <f t="shared" si="10"/>
        <v>#VALUE!</v>
      </c>
    </row>
    <row r="116" spans="1:18" x14ac:dyDescent="0.25">
      <c r="A116" s="87"/>
      <c r="B116" s="92"/>
      <c r="C116" s="106" t="s">
        <v>264</v>
      </c>
      <c r="D116" s="430">
        <v>0</v>
      </c>
      <c r="E116" s="384"/>
      <c r="F116" s="430"/>
      <c r="G116" s="430"/>
      <c r="H116" s="430"/>
      <c r="I116" s="430"/>
      <c r="J116" s="430"/>
      <c r="K116" s="430"/>
      <c r="L116" s="430"/>
      <c r="M116" s="430"/>
      <c r="N116" s="430"/>
      <c r="O116" s="430"/>
      <c r="P116" s="430">
        <f t="shared" si="11"/>
        <v>0</v>
      </c>
      <c r="Q116" s="430">
        <f t="shared" si="9"/>
        <v>0</v>
      </c>
      <c r="R116" s="430" t="e">
        <f t="shared" si="10"/>
        <v>#VALUE!</v>
      </c>
    </row>
    <row r="117" spans="1:18" x14ac:dyDescent="0.25">
      <c r="A117" s="92" t="s">
        <v>265</v>
      </c>
      <c r="B117" s="92" t="s">
        <v>265</v>
      </c>
      <c r="C117" s="105" t="s">
        <v>266</v>
      </c>
      <c r="D117" s="430">
        <v>-13537.594499999999</v>
      </c>
      <c r="E117" s="430">
        <v>-7156.23</v>
      </c>
      <c r="F117" s="430"/>
      <c r="G117" s="430"/>
      <c r="H117" s="430"/>
      <c r="I117" s="430"/>
      <c r="J117" s="430"/>
      <c r="K117" s="430"/>
      <c r="L117" s="430"/>
      <c r="M117" s="430"/>
      <c r="N117" s="430"/>
      <c r="O117" s="430"/>
      <c r="P117" s="430">
        <f t="shared" si="11"/>
        <v>-13537.594499999999</v>
      </c>
      <c r="Q117" s="430">
        <f t="shared" si="9"/>
        <v>-13537.594499999999</v>
      </c>
      <c r="R117" s="430" t="e">
        <f t="shared" si="10"/>
        <v>#VALUE!</v>
      </c>
    </row>
    <row r="118" spans="1:18" x14ac:dyDescent="0.25">
      <c r="A118" s="92" t="s">
        <v>267</v>
      </c>
      <c r="B118" s="92" t="s">
        <v>267</v>
      </c>
      <c r="C118" s="105" t="s">
        <v>268</v>
      </c>
      <c r="D118" s="430">
        <v>0</v>
      </c>
      <c r="E118" s="430">
        <v>0</v>
      </c>
      <c r="F118" s="430"/>
      <c r="G118" s="430"/>
      <c r="H118" s="430"/>
      <c r="I118" s="430"/>
      <c r="J118" s="430"/>
      <c r="K118" s="430"/>
      <c r="L118" s="430"/>
      <c r="M118" s="430"/>
      <c r="N118" s="430"/>
      <c r="O118" s="430"/>
      <c r="P118" s="430">
        <f t="shared" si="11"/>
        <v>0</v>
      </c>
      <c r="Q118" s="430">
        <f t="shared" si="9"/>
        <v>0</v>
      </c>
      <c r="R118" s="430" t="e">
        <f t="shared" si="10"/>
        <v>#VALUE!</v>
      </c>
    </row>
    <row r="119" spans="1:18" x14ac:dyDescent="0.25">
      <c r="A119" s="92" t="s">
        <v>269</v>
      </c>
      <c r="B119" s="92" t="s">
        <v>269</v>
      </c>
      <c r="C119" s="105" t="s">
        <v>270</v>
      </c>
      <c r="D119" s="430">
        <v>-674.73827999999992</v>
      </c>
      <c r="E119" s="430">
        <v>-1952.9</v>
      </c>
      <c r="F119" s="430"/>
      <c r="G119" s="430"/>
      <c r="H119" s="430"/>
      <c r="I119" s="430"/>
      <c r="J119" s="430"/>
      <c r="K119" s="430"/>
      <c r="L119" s="430"/>
      <c r="M119" s="430"/>
      <c r="N119" s="430"/>
      <c r="O119" s="430"/>
      <c r="P119" s="430">
        <f t="shared" si="11"/>
        <v>-674.73827999999992</v>
      </c>
      <c r="Q119" s="430">
        <f t="shared" si="9"/>
        <v>-674.73827999999992</v>
      </c>
      <c r="R119" s="430" t="e">
        <f t="shared" si="10"/>
        <v>#VALUE!</v>
      </c>
    </row>
    <row r="120" spans="1:18" x14ac:dyDescent="0.25">
      <c r="A120" s="92" t="s">
        <v>271</v>
      </c>
      <c r="B120" s="92" t="s">
        <v>271</v>
      </c>
      <c r="C120" s="105" t="s">
        <v>46</v>
      </c>
      <c r="D120" s="430">
        <v>-1871.9507100000001</v>
      </c>
      <c r="E120" s="430">
        <v>-2544.7600000000002</v>
      </c>
      <c r="F120" s="430"/>
      <c r="G120" s="430"/>
      <c r="H120" s="430"/>
      <c r="I120" s="430"/>
      <c r="J120" s="430"/>
      <c r="K120" s="430"/>
      <c r="L120" s="430"/>
      <c r="M120" s="430"/>
      <c r="N120" s="430"/>
      <c r="O120" s="430"/>
      <c r="P120" s="430">
        <f t="shared" si="11"/>
        <v>-1871.9507100000001</v>
      </c>
      <c r="Q120" s="430">
        <f t="shared" si="9"/>
        <v>-1871.9507100000001</v>
      </c>
      <c r="R120" s="430" t="e">
        <f t="shared" si="10"/>
        <v>#VALUE!</v>
      </c>
    </row>
    <row r="121" spans="1:18" x14ac:dyDescent="0.25">
      <c r="A121" s="92" t="s">
        <v>272</v>
      </c>
      <c r="B121" s="92" t="s">
        <v>272</v>
      </c>
      <c r="C121" s="105" t="s">
        <v>47</v>
      </c>
      <c r="D121" s="430">
        <v>-10230</v>
      </c>
      <c r="E121" s="430">
        <v>-11359</v>
      </c>
      <c r="F121" s="430"/>
      <c r="G121" s="430"/>
      <c r="H121" s="430"/>
      <c r="I121" s="430"/>
      <c r="J121" s="430"/>
      <c r="K121" s="430"/>
      <c r="L121" s="430"/>
      <c r="M121" s="430"/>
      <c r="N121" s="430"/>
      <c r="O121" s="430"/>
      <c r="P121" s="430">
        <f t="shared" si="11"/>
        <v>-10230</v>
      </c>
      <c r="Q121" s="430">
        <f t="shared" si="9"/>
        <v>-10230</v>
      </c>
      <c r="R121" s="430" t="e">
        <f t="shared" si="10"/>
        <v>#VALUE!</v>
      </c>
    </row>
    <row r="122" spans="1:18" x14ac:dyDescent="0.25">
      <c r="A122" s="92" t="s">
        <v>273</v>
      </c>
      <c r="B122" s="92" t="s">
        <v>273</v>
      </c>
      <c r="C122" s="105" t="s">
        <v>274</v>
      </c>
      <c r="D122" s="430">
        <v>-123.40631999999999</v>
      </c>
      <c r="E122" s="430">
        <v>-94.08</v>
      </c>
      <c r="F122" s="430"/>
      <c r="G122" s="430"/>
      <c r="H122" s="430"/>
      <c r="I122" s="430"/>
      <c r="J122" s="430"/>
      <c r="K122" s="430"/>
      <c r="L122" s="430"/>
      <c r="M122" s="430"/>
      <c r="N122" s="430"/>
      <c r="O122" s="430"/>
      <c r="P122" s="430">
        <f t="shared" si="11"/>
        <v>-123.40631999999999</v>
      </c>
      <c r="Q122" s="430">
        <f t="shared" si="9"/>
        <v>-123.40631999999999</v>
      </c>
      <c r="R122" s="430" t="e">
        <f t="shared" si="10"/>
        <v>#VALUE!</v>
      </c>
    </row>
    <row r="123" spans="1:18" x14ac:dyDescent="0.25">
      <c r="A123" s="87"/>
      <c r="B123" s="92"/>
      <c r="C123" s="107" t="s">
        <v>275</v>
      </c>
      <c r="D123" s="430">
        <v>0</v>
      </c>
      <c r="E123" s="430"/>
      <c r="F123" s="430"/>
      <c r="G123" s="430"/>
      <c r="H123" s="430"/>
      <c r="I123" s="430"/>
      <c r="J123" s="430"/>
      <c r="K123" s="430"/>
      <c r="L123" s="430"/>
      <c r="M123" s="430"/>
      <c r="N123" s="430"/>
      <c r="O123" s="430"/>
      <c r="P123" s="430">
        <f t="shared" si="11"/>
        <v>0</v>
      </c>
      <c r="Q123" s="430">
        <f t="shared" si="9"/>
        <v>0</v>
      </c>
      <c r="R123" s="430" t="e">
        <f t="shared" si="10"/>
        <v>#VALUE!</v>
      </c>
    </row>
    <row r="124" spans="1:18" x14ac:dyDescent="0.25">
      <c r="A124" s="92" t="s">
        <v>276</v>
      </c>
      <c r="B124" s="92" t="s">
        <v>276</v>
      </c>
      <c r="C124" s="108" t="s">
        <v>49</v>
      </c>
      <c r="D124" s="430">
        <v>83515</v>
      </c>
      <c r="E124" s="430">
        <v>83516.188579999987</v>
      </c>
      <c r="F124" s="430"/>
      <c r="G124" s="430"/>
      <c r="H124" s="430"/>
      <c r="I124" s="430"/>
      <c r="J124" s="430"/>
      <c r="K124" s="430"/>
      <c r="L124" s="430"/>
      <c r="M124" s="430"/>
      <c r="N124" s="430"/>
      <c r="O124" s="430"/>
      <c r="P124" s="430">
        <f t="shared" si="11"/>
        <v>83515</v>
      </c>
      <c r="Q124" s="430">
        <f t="shared" si="9"/>
        <v>83515</v>
      </c>
      <c r="R124" s="430" t="e">
        <f t="shared" si="10"/>
        <v>#VALUE!</v>
      </c>
    </row>
    <row r="125" spans="1:18" x14ac:dyDescent="0.25">
      <c r="A125" s="92" t="s">
        <v>277</v>
      </c>
      <c r="B125" s="92" t="s">
        <v>277</v>
      </c>
      <c r="C125" s="108" t="s">
        <v>50</v>
      </c>
      <c r="D125" s="430">
        <v>-15611</v>
      </c>
      <c r="E125" s="430">
        <v>-16021</v>
      </c>
      <c r="F125" s="430"/>
      <c r="G125" s="430"/>
      <c r="H125" s="430"/>
      <c r="I125" s="430"/>
      <c r="J125" s="430"/>
      <c r="K125" s="430"/>
      <c r="L125" s="430"/>
      <c r="M125" s="430"/>
      <c r="N125" s="430"/>
      <c r="O125" s="430"/>
      <c r="P125" s="430">
        <f t="shared" si="11"/>
        <v>-15611</v>
      </c>
      <c r="Q125" s="430">
        <f t="shared" si="9"/>
        <v>-15611</v>
      </c>
      <c r="R125" s="430" t="e">
        <f t="shared" si="10"/>
        <v>#VALUE!</v>
      </c>
    </row>
    <row r="126" spans="1:18" x14ac:dyDescent="0.25">
      <c r="A126" s="92" t="s">
        <v>278</v>
      </c>
      <c r="B126" s="92" t="s">
        <v>278</v>
      </c>
      <c r="C126" s="108" t="s">
        <v>51</v>
      </c>
      <c r="D126" s="430">
        <v>20166.47896</v>
      </c>
      <c r="E126" s="430">
        <v>20166.47896</v>
      </c>
      <c r="F126" s="430"/>
      <c r="G126" s="430"/>
      <c r="H126" s="430"/>
      <c r="I126" s="430"/>
      <c r="J126" s="430"/>
      <c r="K126" s="430"/>
      <c r="L126" s="430"/>
      <c r="M126" s="430"/>
      <c r="N126" s="430"/>
      <c r="O126" s="430"/>
      <c r="P126" s="430">
        <f t="shared" si="11"/>
        <v>20166.47896</v>
      </c>
      <c r="Q126" s="430">
        <f t="shared" si="9"/>
        <v>20166.47896</v>
      </c>
      <c r="R126" s="430" t="e">
        <f t="shared" si="10"/>
        <v>#VALUE!</v>
      </c>
    </row>
    <row r="127" spans="1:18" x14ac:dyDescent="0.25">
      <c r="A127" s="92" t="s">
        <v>279</v>
      </c>
      <c r="B127" s="92" t="s">
        <v>279</v>
      </c>
      <c r="C127" s="108" t="s">
        <v>50</v>
      </c>
      <c r="D127" s="430">
        <v>-10359</v>
      </c>
      <c r="E127" s="430">
        <v>-10832</v>
      </c>
      <c r="F127" s="430"/>
      <c r="G127" s="430"/>
      <c r="H127" s="430"/>
      <c r="I127" s="430"/>
      <c r="J127" s="430"/>
      <c r="K127" s="430"/>
      <c r="L127" s="430"/>
      <c r="M127" s="430"/>
      <c r="N127" s="430"/>
      <c r="O127" s="430"/>
      <c r="P127" s="430">
        <f t="shared" si="11"/>
        <v>-10359</v>
      </c>
      <c r="Q127" s="430">
        <f t="shared" si="9"/>
        <v>-10359</v>
      </c>
      <c r="R127" s="430" t="e">
        <f t="shared" si="10"/>
        <v>#VALUE!</v>
      </c>
    </row>
    <row r="128" spans="1:18" x14ac:dyDescent="0.25">
      <c r="A128" s="92" t="s">
        <v>280</v>
      </c>
      <c r="B128" s="92" t="s">
        <v>280</v>
      </c>
      <c r="C128" s="108" t="s">
        <v>52</v>
      </c>
      <c r="D128" s="430">
        <v>953.93402000000003</v>
      </c>
      <c r="E128" s="430">
        <v>-249.48</v>
      </c>
      <c r="F128" s="430"/>
      <c r="G128" s="430"/>
      <c r="H128" s="430"/>
      <c r="I128" s="430"/>
      <c r="J128" s="430"/>
      <c r="K128" s="430"/>
      <c r="L128" s="430"/>
      <c r="M128" s="430"/>
      <c r="N128" s="430"/>
      <c r="O128" s="430"/>
      <c r="P128" s="430">
        <f t="shared" si="11"/>
        <v>953.93402000000003</v>
      </c>
      <c r="Q128" s="430">
        <f t="shared" si="9"/>
        <v>953.93402000000003</v>
      </c>
      <c r="R128" s="430" t="e">
        <f t="shared" si="10"/>
        <v>#VALUE!</v>
      </c>
    </row>
    <row r="129" spans="1:18" ht="13" x14ac:dyDescent="0.3">
      <c r="A129" s="87"/>
      <c r="B129" s="92"/>
      <c r="C129" s="109" t="s">
        <v>281</v>
      </c>
      <c r="D129" s="378"/>
      <c r="E129" s="378"/>
      <c r="F129" s="430"/>
      <c r="G129" s="378"/>
      <c r="H129" s="378"/>
      <c r="I129" s="378"/>
      <c r="J129" s="378"/>
      <c r="K129" s="378"/>
      <c r="L129" s="378"/>
      <c r="M129" s="378"/>
      <c r="N129" s="378"/>
      <c r="O129" s="378"/>
      <c r="P129" s="430">
        <f t="shared" si="11"/>
        <v>0</v>
      </c>
      <c r="Q129" s="430">
        <f t="shared" si="9"/>
        <v>0</v>
      </c>
      <c r="R129" s="430" t="e">
        <f t="shared" si="10"/>
        <v>#VALUE!</v>
      </c>
    </row>
    <row r="130" spans="1:18" ht="13" x14ac:dyDescent="0.3">
      <c r="A130" s="87"/>
      <c r="B130" s="92"/>
      <c r="C130" s="110" t="s">
        <v>282</v>
      </c>
      <c r="D130" s="430"/>
      <c r="E130" s="341"/>
      <c r="F130" s="430"/>
      <c r="G130" s="430"/>
      <c r="H130" s="430"/>
      <c r="I130" s="430"/>
      <c r="J130" s="430"/>
      <c r="K130" s="430"/>
      <c r="L130" s="430"/>
      <c r="M130" s="430"/>
      <c r="N130" s="430"/>
      <c r="O130" s="430"/>
      <c r="P130" s="430">
        <f t="shared" si="11"/>
        <v>0</v>
      </c>
      <c r="Q130" s="430">
        <f t="shared" si="9"/>
        <v>0</v>
      </c>
      <c r="R130" s="430" t="e">
        <f t="shared" si="10"/>
        <v>#VALUE!</v>
      </c>
    </row>
    <row r="131" spans="1:18" x14ac:dyDescent="0.25">
      <c r="A131" s="426" t="s">
        <v>283</v>
      </c>
      <c r="B131" s="92" t="s">
        <v>283</v>
      </c>
      <c r="C131" s="105" t="s">
        <v>456</v>
      </c>
      <c r="D131" s="430">
        <v>0</v>
      </c>
      <c r="E131" s="430">
        <v>0</v>
      </c>
      <c r="F131" s="430"/>
      <c r="G131" s="430"/>
      <c r="H131" s="430"/>
      <c r="I131" s="430"/>
      <c r="J131" s="430"/>
      <c r="K131" s="430"/>
      <c r="L131" s="430"/>
      <c r="M131" s="430"/>
      <c r="N131" s="430"/>
      <c r="O131" s="430"/>
      <c r="P131" s="430">
        <f t="shared" si="11"/>
        <v>0</v>
      </c>
      <c r="Q131" s="430">
        <f t="shared" si="9"/>
        <v>0</v>
      </c>
      <c r="R131" s="430" t="e">
        <f t="shared" si="10"/>
        <v>#VALUE!</v>
      </c>
    </row>
    <row r="132" spans="1:18" x14ac:dyDescent="0.25">
      <c r="A132" s="92" t="s">
        <v>285</v>
      </c>
      <c r="B132" s="92" t="s">
        <v>285</v>
      </c>
      <c r="C132" s="105" t="s">
        <v>286</v>
      </c>
      <c r="D132" s="430">
        <v>-3338</v>
      </c>
      <c r="E132" s="430">
        <v>-8789</v>
      </c>
      <c r="F132" s="430"/>
      <c r="G132" s="430"/>
      <c r="H132" s="430"/>
      <c r="I132" s="430"/>
      <c r="J132" s="430"/>
      <c r="K132" s="430"/>
      <c r="L132" s="430"/>
      <c r="M132" s="430"/>
      <c r="N132" s="430"/>
      <c r="O132" s="430"/>
      <c r="P132" s="430">
        <f t="shared" si="11"/>
        <v>-3338</v>
      </c>
      <c r="Q132" s="430">
        <f t="shared" ref="Q132:Q141" si="12">CHOOSE(Mese,D132,E132,F132,G132,H132,I132,J132,K132,L132,M132,N132,O132)</f>
        <v>-3338</v>
      </c>
      <c r="R132" s="430" t="e">
        <f t="shared" si="10"/>
        <v>#VALUE!</v>
      </c>
    </row>
    <row r="133" spans="1:18" x14ac:dyDescent="0.25">
      <c r="A133" s="92" t="s">
        <v>287</v>
      </c>
      <c r="B133" s="92" t="s">
        <v>287</v>
      </c>
      <c r="C133" s="109" t="s">
        <v>54</v>
      </c>
      <c r="D133" s="430">
        <v>78599.429430000004</v>
      </c>
      <c r="E133" s="430">
        <v>78950</v>
      </c>
      <c r="F133" s="430"/>
      <c r="G133" s="430"/>
      <c r="H133" s="430"/>
      <c r="I133" s="430"/>
      <c r="J133" s="430"/>
      <c r="K133" s="430"/>
      <c r="L133" s="430"/>
      <c r="M133" s="430"/>
      <c r="N133" s="430"/>
      <c r="O133" s="430"/>
      <c r="P133" s="430">
        <f t="shared" si="11"/>
        <v>78599.429430000004</v>
      </c>
      <c r="Q133" s="430">
        <f t="shared" si="12"/>
        <v>78599.429430000004</v>
      </c>
      <c r="R133" s="430" t="e">
        <f t="shared" si="10"/>
        <v>#VALUE!</v>
      </c>
    </row>
    <row r="134" spans="1:18" x14ac:dyDescent="0.25">
      <c r="A134" s="92"/>
      <c r="B134" s="92"/>
      <c r="C134" s="109" t="s">
        <v>288</v>
      </c>
      <c r="D134" s="430">
        <v>0</v>
      </c>
      <c r="E134" s="433"/>
      <c r="F134" s="430"/>
      <c r="G134" s="430"/>
      <c r="H134" s="430"/>
      <c r="I134" s="430"/>
      <c r="J134" s="430"/>
      <c r="K134" s="430"/>
      <c r="L134" s="430"/>
      <c r="M134" s="430"/>
      <c r="N134" s="430"/>
      <c r="O134" s="430"/>
      <c r="P134" s="430">
        <f t="shared" si="11"/>
        <v>0</v>
      </c>
      <c r="Q134" s="430">
        <f t="shared" si="12"/>
        <v>0</v>
      </c>
      <c r="R134" s="430" t="e">
        <f t="shared" si="10"/>
        <v>#VALUE!</v>
      </c>
    </row>
    <row r="135" spans="1:18" x14ac:dyDescent="0.25">
      <c r="A135" s="92" t="s">
        <v>289</v>
      </c>
      <c r="B135" s="92" t="s">
        <v>289</v>
      </c>
      <c r="C135" s="108" t="s">
        <v>55</v>
      </c>
      <c r="D135" s="430">
        <v>-4100</v>
      </c>
      <c r="E135" s="430">
        <v>-4100</v>
      </c>
      <c r="F135" s="430"/>
      <c r="G135" s="430"/>
      <c r="H135" s="430"/>
      <c r="I135" s="430"/>
      <c r="J135" s="430"/>
      <c r="K135" s="430"/>
      <c r="L135" s="430"/>
      <c r="M135" s="430"/>
      <c r="N135" s="430"/>
      <c r="O135" s="430"/>
      <c r="P135" s="430">
        <f t="shared" si="11"/>
        <v>-4100</v>
      </c>
      <c r="Q135" s="430">
        <f t="shared" si="12"/>
        <v>-4100</v>
      </c>
      <c r="R135" s="430" t="e">
        <f t="shared" si="10"/>
        <v>#VALUE!</v>
      </c>
    </row>
    <row r="136" spans="1:18" x14ac:dyDescent="0.25">
      <c r="A136" s="92" t="s">
        <v>290</v>
      </c>
      <c r="B136" s="92" t="s">
        <v>290</v>
      </c>
      <c r="C136" s="108" t="s">
        <v>56</v>
      </c>
      <c r="D136" s="430">
        <v>-281.92897999999997</v>
      </c>
      <c r="E136" s="430">
        <v>-281.92897999999997</v>
      </c>
      <c r="F136" s="430"/>
      <c r="G136" s="430"/>
      <c r="H136" s="430"/>
      <c r="I136" s="430"/>
      <c r="J136" s="430"/>
      <c r="K136" s="430"/>
      <c r="L136" s="430"/>
      <c r="M136" s="430"/>
      <c r="N136" s="430"/>
      <c r="O136" s="430"/>
      <c r="P136" s="430">
        <f t="shared" si="11"/>
        <v>-281.92897999999997</v>
      </c>
      <c r="Q136" s="430">
        <f t="shared" si="12"/>
        <v>-281.92897999999997</v>
      </c>
      <c r="R136" s="430" t="e">
        <f t="shared" si="10"/>
        <v>#VALUE!</v>
      </c>
    </row>
    <row r="137" spans="1:18" x14ac:dyDescent="0.25">
      <c r="A137" s="92" t="s">
        <v>291</v>
      </c>
      <c r="B137" s="92" t="s">
        <v>291</v>
      </c>
      <c r="C137" s="108" t="s">
        <v>57</v>
      </c>
      <c r="D137" s="430">
        <v>-145346.44427000001</v>
      </c>
      <c r="E137" s="430">
        <v>-145346.44427000001</v>
      </c>
      <c r="F137" s="430"/>
      <c r="G137" s="430"/>
      <c r="H137" s="430"/>
      <c r="I137" s="430"/>
      <c r="J137" s="430"/>
      <c r="K137" s="430"/>
      <c r="L137" s="430"/>
      <c r="M137" s="430"/>
      <c r="N137" s="430"/>
      <c r="O137" s="430"/>
      <c r="P137" s="430">
        <f t="shared" si="11"/>
        <v>-145346.44427000001</v>
      </c>
      <c r="Q137" s="430">
        <f t="shared" si="12"/>
        <v>-145346.44427000001</v>
      </c>
      <c r="R137" s="430" t="e">
        <f t="shared" si="10"/>
        <v>#VALUE!</v>
      </c>
    </row>
    <row r="138" spans="1:18" x14ac:dyDescent="0.25">
      <c r="A138" s="92" t="s">
        <v>292</v>
      </c>
      <c r="B138" s="92" t="s">
        <v>292</v>
      </c>
      <c r="C138" s="108" t="s">
        <v>58</v>
      </c>
      <c r="D138" s="430">
        <v>-5356.6505199999992</v>
      </c>
      <c r="E138" s="430">
        <v>-5356.6505199999992</v>
      </c>
      <c r="F138" s="430"/>
      <c r="G138" s="430"/>
      <c r="H138" s="430"/>
      <c r="I138" s="430"/>
      <c r="J138" s="430"/>
      <c r="K138" s="430"/>
      <c r="L138" s="430"/>
      <c r="M138" s="430"/>
      <c r="N138" s="430"/>
      <c r="O138" s="430"/>
      <c r="P138" s="430">
        <f t="shared" si="11"/>
        <v>-5356.6505199999992</v>
      </c>
      <c r="Q138" s="430">
        <f t="shared" si="12"/>
        <v>-5356.6505199999992</v>
      </c>
      <c r="R138" s="430" t="e">
        <f t="shared" si="10"/>
        <v>#VALUE!</v>
      </c>
    </row>
    <row r="139" spans="1:18" x14ac:dyDescent="0.25">
      <c r="A139" s="92" t="s">
        <v>293</v>
      </c>
      <c r="B139" s="92" t="s">
        <v>293</v>
      </c>
      <c r="C139" s="108" t="s">
        <v>59</v>
      </c>
      <c r="D139" s="430">
        <v>-1396.21011</v>
      </c>
      <c r="E139" s="430">
        <v>-1396.21011</v>
      </c>
      <c r="F139" s="430"/>
      <c r="G139" s="430"/>
      <c r="H139" s="430"/>
      <c r="I139" s="430"/>
      <c r="J139" s="430"/>
      <c r="K139" s="430"/>
      <c r="L139" s="430"/>
      <c r="M139" s="430"/>
      <c r="N139" s="430"/>
      <c r="O139" s="430"/>
      <c r="P139" s="430">
        <f t="shared" si="11"/>
        <v>-1396.21011</v>
      </c>
      <c r="Q139" s="430">
        <f t="shared" si="12"/>
        <v>-1396.21011</v>
      </c>
      <c r="R139" s="430" t="e">
        <f t="shared" si="10"/>
        <v>#VALUE!</v>
      </c>
    </row>
    <row r="140" spans="1:18" x14ac:dyDescent="0.25">
      <c r="A140" s="92" t="s">
        <v>294</v>
      </c>
      <c r="B140" s="92" t="s">
        <v>294</v>
      </c>
      <c r="C140" s="108" t="s">
        <v>60</v>
      </c>
      <c r="D140" s="430">
        <v>0</v>
      </c>
      <c r="E140" s="430">
        <v>0</v>
      </c>
      <c r="F140" s="430"/>
      <c r="G140" s="430"/>
      <c r="H140" s="430"/>
      <c r="I140" s="430"/>
      <c r="J140" s="430"/>
      <c r="K140" s="430"/>
      <c r="L140" s="430"/>
      <c r="M140" s="430"/>
      <c r="N140" s="430"/>
      <c r="O140" s="430"/>
      <c r="P140" s="430">
        <f t="shared" si="11"/>
        <v>0</v>
      </c>
      <c r="Q140" s="430">
        <f t="shared" si="12"/>
        <v>0</v>
      </c>
      <c r="R140" s="430" t="e">
        <f t="shared" si="10"/>
        <v>#VALUE!</v>
      </c>
    </row>
    <row r="141" spans="1:18" x14ac:dyDescent="0.25">
      <c r="A141" s="92" t="s">
        <v>295</v>
      </c>
      <c r="B141" s="92" t="s">
        <v>295</v>
      </c>
      <c r="C141" s="105" t="s">
        <v>61</v>
      </c>
      <c r="D141" s="430">
        <v>0</v>
      </c>
      <c r="E141" s="430">
        <v>0</v>
      </c>
      <c r="F141" s="430"/>
      <c r="G141" s="430"/>
      <c r="H141" s="430"/>
      <c r="I141" s="430"/>
      <c r="J141" s="430"/>
      <c r="K141" s="430"/>
      <c r="L141" s="430"/>
      <c r="M141" s="430"/>
      <c r="N141" s="430"/>
      <c r="O141" s="430"/>
      <c r="P141" s="430">
        <f t="shared" si="11"/>
        <v>0</v>
      </c>
      <c r="Q141" s="430">
        <f t="shared" si="12"/>
        <v>0</v>
      </c>
      <c r="R141" s="430" t="e">
        <f t="shared" si="10"/>
        <v>#VALUE!</v>
      </c>
    </row>
    <row r="142" spans="1:18" x14ac:dyDescent="0.25">
      <c r="D142" s="430"/>
      <c r="E142" s="430"/>
      <c r="F142" s="430"/>
      <c r="G142" s="430"/>
      <c r="H142" s="430"/>
      <c r="I142" s="430"/>
      <c r="J142" s="430"/>
      <c r="K142" s="430"/>
      <c r="L142" s="430"/>
      <c r="M142" s="430"/>
      <c r="N142" s="430"/>
      <c r="O142" s="430"/>
      <c r="R142" s="430"/>
    </row>
    <row r="143" spans="1:18" x14ac:dyDescent="0.25">
      <c r="C143" s="369" t="s">
        <v>418</v>
      </c>
      <c r="D143" s="430">
        <f>SUM(D4:D107)</f>
        <v>911.46960000000047</v>
      </c>
      <c r="E143" s="430">
        <f t="shared" ref="E143:O143" si="13">SUM(E4:E107)</f>
        <v>-139.30999999999949</v>
      </c>
      <c r="F143" s="430">
        <f t="shared" si="13"/>
        <v>0</v>
      </c>
      <c r="G143" s="430">
        <f t="shared" si="13"/>
        <v>0</v>
      </c>
      <c r="H143" s="430">
        <f t="shared" si="13"/>
        <v>0</v>
      </c>
      <c r="I143" s="430">
        <f t="shared" si="13"/>
        <v>0</v>
      </c>
      <c r="J143" s="430">
        <f t="shared" si="13"/>
        <v>0</v>
      </c>
      <c r="K143" s="430">
        <f t="shared" si="13"/>
        <v>0</v>
      </c>
      <c r="L143" s="430">
        <f t="shared" si="13"/>
        <v>0</v>
      </c>
      <c r="M143" s="430">
        <f t="shared" si="13"/>
        <v>0</v>
      </c>
      <c r="N143" s="430">
        <f t="shared" si="13"/>
        <v>0</v>
      </c>
      <c r="O143" s="430">
        <f t="shared" si="13"/>
        <v>0</v>
      </c>
      <c r="R143" s="430"/>
    </row>
    <row r="144" spans="1:18" x14ac:dyDescent="0.25">
      <c r="C144" s="369" t="s">
        <v>422</v>
      </c>
      <c r="D144" s="430">
        <f>SUM(D108:D142)</f>
        <v>-911.35387999999875</v>
      </c>
      <c r="E144" s="430">
        <f t="shared" ref="E144:O144" si="14">SUM(E108:E142)</f>
        <v>138.89835599997241</v>
      </c>
      <c r="F144" s="430">
        <f t="shared" si="14"/>
        <v>0</v>
      </c>
      <c r="G144" s="430">
        <f t="shared" si="14"/>
        <v>0</v>
      </c>
      <c r="H144" s="430">
        <f t="shared" si="14"/>
        <v>0</v>
      </c>
      <c r="I144" s="430">
        <f t="shared" si="14"/>
        <v>0</v>
      </c>
      <c r="J144" s="430">
        <f t="shared" si="14"/>
        <v>0</v>
      </c>
      <c r="K144" s="430">
        <f t="shared" si="14"/>
        <v>0</v>
      </c>
      <c r="L144" s="430">
        <f t="shared" si="14"/>
        <v>0</v>
      </c>
      <c r="M144" s="430">
        <f t="shared" si="14"/>
        <v>0</v>
      </c>
      <c r="N144" s="430">
        <f t="shared" si="14"/>
        <v>0</v>
      </c>
      <c r="O144" s="430">
        <f t="shared" si="14"/>
        <v>0</v>
      </c>
      <c r="R144" s="430"/>
    </row>
    <row r="145" spans="3:18" ht="13" x14ac:dyDescent="0.3">
      <c r="C145" s="369" t="s">
        <v>342</v>
      </c>
      <c r="D145" s="341">
        <f>SUM(D143:D144)</f>
        <v>0.11572000000171556</v>
      </c>
      <c r="E145" s="341">
        <f>SUM(E143:E144)</f>
        <v>-0.41164400002708135</v>
      </c>
      <c r="F145" s="341">
        <f>SUM(F143:F144)</f>
        <v>0</v>
      </c>
      <c r="G145" s="341">
        <f>SUM(G143:G144)</f>
        <v>0</v>
      </c>
      <c r="H145" s="341">
        <f>SUM(H143:H144)</f>
        <v>0</v>
      </c>
      <c r="I145" s="341">
        <f t="shared" ref="I145:O145" si="15">SUM(I143:I144)</f>
        <v>0</v>
      </c>
      <c r="J145" s="341">
        <f t="shared" si="15"/>
        <v>0</v>
      </c>
      <c r="K145" s="341">
        <f t="shared" si="15"/>
        <v>0</v>
      </c>
      <c r="L145" s="341">
        <f t="shared" si="15"/>
        <v>0</v>
      </c>
      <c r="M145" s="341">
        <f t="shared" si="15"/>
        <v>0</v>
      </c>
      <c r="N145" s="341">
        <f t="shared" si="15"/>
        <v>0</v>
      </c>
      <c r="O145" s="341">
        <f t="shared" si="15"/>
        <v>0</v>
      </c>
      <c r="R145" s="430"/>
    </row>
    <row r="146" spans="3:18" x14ac:dyDescent="0.25">
      <c r="D146" s="430"/>
      <c r="E146" s="430"/>
      <c r="F146" s="430"/>
      <c r="G146" s="430"/>
      <c r="H146" s="430"/>
      <c r="I146" s="430"/>
      <c r="J146" s="430"/>
      <c r="K146" s="430"/>
      <c r="L146" s="430"/>
      <c r="M146" s="430"/>
      <c r="N146" s="430"/>
      <c r="O146" s="430"/>
      <c r="R146" s="430"/>
    </row>
    <row r="147" spans="3:18" x14ac:dyDescent="0.25">
      <c r="D147" s="430"/>
      <c r="E147" s="430"/>
      <c r="F147" s="430"/>
      <c r="G147" s="430"/>
      <c r="H147" s="430"/>
      <c r="I147" s="430"/>
      <c r="J147" s="430"/>
      <c r="K147" s="430"/>
      <c r="L147" s="430"/>
      <c r="M147" s="430"/>
      <c r="N147" s="430"/>
      <c r="O147" s="430"/>
      <c r="R147" s="430"/>
    </row>
    <row r="148" spans="3:18" x14ac:dyDescent="0.25">
      <c r="D148" s="430"/>
      <c r="E148" s="430"/>
      <c r="F148" s="430"/>
      <c r="G148" s="430"/>
      <c r="H148" s="430"/>
      <c r="I148" s="430"/>
      <c r="J148" s="430"/>
      <c r="K148" s="430"/>
      <c r="L148" s="430"/>
      <c r="M148" s="430"/>
      <c r="N148" s="430"/>
      <c r="O148" s="430"/>
      <c r="R148" s="430"/>
    </row>
    <row r="149" spans="3:18" x14ac:dyDescent="0.25">
      <c r="D149" s="430"/>
      <c r="E149" s="430"/>
      <c r="F149" s="430"/>
      <c r="G149" s="430"/>
      <c r="H149" s="430"/>
      <c r="I149" s="430"/>
      <c r="J149" s="430"/>
      <c r="K149" s="430"/>
      <c r="L149" s="430"/>
      <c r="M149" s="430"/>
      <c r="N149" s="430"/>
      <c r="O149" s="430"/>
      <c r="R149" s="430"/>
    </row>
    <row r="150" spans="3:18" x14ac:dyDescent="0.25">
      <c r="D150" s="430"/>
      <c r="E150" s="430"/>
      <c r="F150" s="430"/>
      <c r="G150" s="430"/>
      <c r="H150" s="430"/>
      <c r="I150" s="430"/>
      <c r="J150" s="430"/>
      <c r="K150" s="430"/>
      <c r="L150" s="430"/>
      <c r="M150" s="430"/>
      <c r="N150" s="430"/>
      <c r="O150" s="430"/>
      <c r="R150" s="430"/>
    </row>
    <row r="151" spans="3:18" x14ac:dyDescent="0.25">
      <c r="D151" s="430"/>
      <c r="E151" s="430"/>
      <c r="F151" s="430"/>
      <c r="G151" s="430"/>
      <c r="H151" s="430"/>
      <c r="I151" s="430"/>
      <c r="J151" s="430"/>
      <c r="K151" s="430"/>
      <c r="L151" s="430"/>
      <c r="M151" s="430"/>
      <c r="N151" s="430"/>
      <c r="O151" s="430"/>
      <c r="R151" s="430"/>
    </row>
    <row r="152" spans="3:18" x14ac:dyDescent="0.25">
      <c r="D152" s="430"/>
      <c r="E152" s="430"/>
      <c r="F152" s="430"/>
      <c r="G152" s="430"/>
      <c r="H152" s="430"/>
      <c r="I152" s="430"/>
      <c r="J152" s="430"/>
      <c r="K152" s="430"/>
      <c r="L152" s="430"/>
      <c r="M152" s="430"/>
      <c r="N152" s="430"/>
      <c r="O152" s="430"/>
      <c r="R152" s="430"/>
    </row>
    <row r="153" spans="3:18" x14ac:dyDescent="0.25">
      <c r="D153" s="430"/>
      <c r="E153" s="430"/>
      <c r="F153" s="430"/>
      <c r="G153" s="430"/>
      <c r="H153" s="430"/>
      <c r="I153" s="430"/>
      <c r="J153" s="430"/>
      <c r="K153" s="430"/>
      <c r="L153" s="430"/>
      <c r="M153" s="430"/>
      <c r="N153" s="430"/>
      <c r="O153" s="430"/>
      <c r="R153" s="430"/>
    </row>
    <row r="154" spans="3:18" x14ac:dyDescent="0.25">
      <c r="D154" s="430"/>
      <c r="E154" s="430"/>
      <c r="F154" s="430"/>
      <c r="G154" s="430"/>
      <c r="H154" s="430"/>
      <c r="I154" s="430"/>
      <c r="J154" s="430"/>
      <c r="K154" s="430"/>
      <c r="L154" s="430"/>
      <c r="M154" s="430"/>
      <c r="N154" s="430"/>
      <c r="O154" s="430"/>
      <c r="R154" s="430"/>
    </row>
    <row r="155" spans="3:18" x14ac:dyDescent="0.25">
      <c r="D155" s="430"/>
      <c r="E155" s="430"/>
      <c r="F155" s="430"/>
      <c r="G155" s="430"/>
      <c r="H155" s="430"/>
      <c r="I155" s="430"/>
      <c r="J155" s="430"/>
      <c r="K155" s="430"/>
      <c r="L155" s="430"/>
      <c r="M155" s="430"/>
      <c r="N155" s="430"/>
      <c r="O155" s="430"/>
      <c r="R155" s="430"/>
    </row>
    <row r="156" spans="3:18" x14ac:dyDescent="0.25">
      <c r="D156" s="430"/>
      <c r="E156" s="430"/>
      <c r="F156" s="430"/>
      <c r="G156" s="430"/>
      <c r="H156" s="430"/>
      <c r="I156" s="430"/>
      <c r="J156" s="430"/>
      <c r="K156" s="430"/>
      <c r="L156" s="430"/>
      <c r="M156" s="430"/>
      <c r="N156" s="430"/>
      <c r="O156" s="430"/>
      <c r="R156" s="430"/>
    </row>
    <row r="157" spans="3:18" x14ac:dyDescent="0.25">
      <c r="D157" s="430"/>
      <c r="E157" s="435"/>
      <c r="F157" s="430"/>
      <c r="G157" s="430"/>
      <c r="H157" s="430"/>
      <c r="I157" s="430"/>
      <c r="J157" s="430"/>
      <c r="K157" s="430"/>
      <c r="L157" s="430"/>
      <c r="M157" s="430"/>
      <c r="N157" s="430"/>
      <c r="O157" s="430"/>
      <c r="R157" s="430"/>
    </row>
    <row r="158" spans="3:18" x14ac:dyDescent="0.25">
      <c r="D158" s="430"/>
      <c r="E158" s="435"/>
      <c r="F158" s="430"/>
      <c r="G158" s="430"/>
      <c r="H158" s="430"/>
      <c r="I158" s="430"/>
      <c r="J158" s="430"/>
      <c r="K158" s="430"/>
      <c r="L158" s="430"/>
      <c r="M158" s="430"/>
      <c r="N158" s="430"/>
      <c r="O158" s="430"/>
      <c r="R158" s="430"/>
    </row>
    <row r="159" spans="3:18" x14ac:dyDescent="0.25">
      <c r="D159" s="430"/>
      <c r="E159" s="435"/>
      <c r="F159" s="430"/>
      <c r="G159" s="430"/>
      <c r="H159" s="430"/>
      <c r="I159" s="430"/>
      <c r="J159" s="430"/>
      <c r="K159" s="430"/>
      <c r="L159" s="430"/>
      <c r="M159" s="430"/>
      <c r="N159" s="430"/>
      <c r="O159" s="430"/>
      <c r="R159" s="430"/>
    </row>
    <row r="160" spans="3:18" x14ac:dyDescent="0.25">
      <c r="D160" s="430"/>
      <c r="E160" s="435"/>
      <c r="F160" s="430"/>
      <c r="G160" s="430"/>
      <c r="H160" s="430"/>
      <c r="I160" s="430"/>
      <c r="J160" s="430"/>
      <c r="K160" s="430"/>
      <c r="L160" s="430"/>
      <c r="M160" s="430"/>
      <c r="N160" s="430"/>
      <c r="O160" s="430"/>
      <c r="R160" s="430"/>
    </row>
    <row r="161" spans="4:18" x14ac:dyDescent="0.25">
      <c r="D161" s="430"/>
      <c r="E161" s="435"/>
      <c r="F161" s="430"/>
      <c r="G161" s="430"/>
      <c r="H161" s="430"/>
      <c r="I161" s="430"/>
      <c r="J161" s="430"/>
      <c r="K161" s="430"/>
      <c r="L161" s="430"/>
      <c r="M161" s="430"/>
      <c r="N161" s="430"/>
      <c r="O161" s="430"/>
      <c r="R161" s="430"/>
    </row>
    <row r="162" spans="4:18" x14ac:dyDescent="0.25">
      <c r="D162" s="430"/>
      <c r="E162" s="435"/>
      <c r="F162" s="430"/>
      <c r="G162" s="430"/>
      <c r="H162" s="430"/>
      <c r="I162" s="430"/>
      <c r="J162" s="430"/>
      <c r="K162" s="430"/>
      <c r="L162" s="430"/>
      <c r="M162" s="430"/>
      <c r="N162" s="430"/>
      <c r="O162" s="430"/>
      <c r="R162" s="430"/>
    </row>
    <row r="163" spans="4:18" x14ac:dyDescent="0.25">
      <c r="D163" s="430"/>
      <c r="E163" s="435"/>
      <c r="F163" s="430"/>
      <c r="G163" s="430"/>
      <c r="H163" s="430"/>
      <c r="I163" s="430"/>
      <c r="J163" s="430"/>
      <c r="K163" s="430"/>
      <c r="L163" s="430"/>
      <c r="M163" s="430"/>
      <c r="N163" s="430"/>
      <c r="O163" s="430"/>
      <c r="R163" s="430"/>
    </row>
  </sheetData>
  <phoneticPr fontId="24" type="noConversion"/>
  <pageMargins left="0.75" right="0.75" top="0.3" bottom="0.28999999999999998" header="0.18" footer="0.17"/>
  <pageSetup paperSize="9" scale="75" orientation="portrait" r:id="rId1"/>
  <headerFooter alignWithMargins="0">
    <oddFooter>&amp;LOp.Hop Inc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6"/>
  <sheetViews>
    <sheetView showGridLines="0" zoomScale="85" workbookViewId="0">
      <pane xSplit="3" ySplit="3" topLeftCell="D4" activePane="bottomRight" state="frozen"/>
      <selection activeCell="D37" sqref="D37"/>
      <selection pane="topRight" activeCell="D37" sqref="D37"/>
      <selection pane="bottomLeft" activeCell="D37" sqref="D37"/>
      <selection pane="bottomRight" activeCell="D4" sqref="D4"/>
    </sheetView>
  </sheetViews>
  <sheetFormatPr defaultColWidth="9.1796875" defaultRowHeight="12.5" outlineLevelCol="1" x14ac:dyDescent="0.25"/>
  <cols>
    <col min="1" max="1" width="5.81640625" style="369" customWidth="1" outlineLevel="1"/>
    <col min="2" max="2" width="7" style="369" bestFit="1" customWidth="1"/>
    <col min="3" max="3" width="42.54296875" style="369" customWidth="1"/>
    <col min="4" max="14" width="8.7265625" style="369" bestFit="1" customWidth="1" outlineLevel="1"/>
    <col min="15" max="15" width="8.7265625" style="7" bestFit="1" customWidth="1" outlineLevel="1"/>
    <col min="16" max="16" width="11.54296875" style="430" bestFit="1" customWidth="1"/>
    <col min="17" max="17" width="10.1796875" style="430" customWidth="1"/>
    <col min="18" max="16384" width="9.1796875" style="369"/>
  </cols>
  <sheetData>
    <row r="1" spans="1:17" ht="13" x14ac:dyDescent="0.3">
      <c r="D1" s="111" t="s">
        <v>296</v>
      </c>
      <c r="E1" s="111" t="s">
        <v>296</v>
      </c>
      <c r="F1" s="111" t="s">
        <v>296</v>
      </c>
      <c r="G1" s="111" t="s">
        <v>296</v>
      </c>
      <c r="H1" s="111" t="s">
        <v>296</v>
      </c>
      <c r="I1" s="111" t="s">
        <v>296</v>
      </c>
      <c r="J1" s="111" t="s">
        <v>296</v>
      </c>
      <c r="K1" s="111" t="s">
        <v>296</v>
      </c>
      <c r="L1" s="111" t="s">
        <v>296</v>
      </c>
      <c r="M1" s="111" t="s">
        <v>296</v>
      </c>
      <c r="N1" s="111" t="s">
        <v>296</v>
      </c>
      <c r="O1" s="111" t="s">
        <v>296</v>
      </c>
      <c r="P1" s="200" t="s">
        <v>298</v>
      </c>
      <c r="Q1" s="200"/>
    </row>
    <row r="2" spans="1:17" ht="13" x14ac:dyDescent="0.3">
      <c r="A2" s="208" t="s">
        <v>474</v>
      </c>
      <c r="B2" s="425" t="s">
        <v>475</v>
      </c>
      <c r="D2" s="112">
        <v>45322</v>
      </c>
      <c r="E2" s="112">
        <v>45351</v>
      </c>
      <c r="F2" s="112">
        <v>45382</v>
      </c>
      <c r="G2" s="112">
        <v>45412</v>
      </c>
      <c r="H2" s="112">
        <v>45443</v>
      </c>
      <c r="I2" s="112">
        <v>45473</v>
      </c>
      <c r="J2" s="112">
        <v>45504</v>
      </c>
      <c r="K2" s="112">
        <v>45535</v>
      </c>
      <c r="L2" s="112">
        <v>45565</v>
      </c>
      <c r="M2" s="112">
        <v>45596</v>
      </c>
      <c r="N2" s="112">
        <v>45626</v>
      </c>
      <c r="O2" s="112">
        <v>45657</v>
      </c>
      <c r="P2" s="201" t="s">
        <v>297</v>
      </c>
      <c r="Q2" s="201" t="s">
        <v>296</v>
      </c>
    </row>
    <row r="3" spans="1:17" x14ac:dyDescent="0.25">
      <c r="B3" s="88"/>
      <c r="C3" s="89" t="s">
        <v>159</v>
      </c>
    </row>
    <row r="4" spans="1:17" x14ac:dyDescent="0.25">
      <c r="A4" s="92" t="s">
        <v>160</v>
      </c>
      <c r="B4" s="90" t="s">
        <v>160</v>
      </c>
      <c r="C4" s="91" t="s">
        <v>159</v>
      </c>
      <c r="D4" s="430">
        <v>-3920</v>
      </c>
      <c r="E4" s="430">
        <v>-8152</v>
      </c>
      <c r="F4" s="430">
        <v>-14560.451570000001</v>
      </c>
      <c r="G4" s="430">
        <v>-19268.849446666663</v>
      </c>
      <c r="H4" s="430">
        <v>-23517.477856666668</v>
      </c>
      <c r="I4" s="430">
        <v>-29274.089980000001</v>
      </c>
      <c r="J4" s="430">
        <v>-33504.392241538459</v>
      </c>
      <c r="K4" s="430">
        <v>-38412.499735714271</v>
      </c>
      <c r="L4" s="430">
        <v>-43204.609350000006</v>
      </c>
      <c r="M4" s="430">
        <v>-47357.632758888896</v>
      </c>
      <c r="N4" s="430">
        <v>-51723.958093333327</v>
      </c>
      <c r="O4" s="430">
        <v>-57858.717119999987</v>
      </c>
      <c r="P4" s="430">
        <f t="shared" ref="P4:P35" si="0">IF(Mese=1,Q4,Q4-CHOOSE(Mese-1,D4,E4,F4,G4,H4,I4,J4,K4,L4,M4,N4,O4))</f>
        <v>-3920</v>
      </c>
      <c r="Q4" s="430">
        <f t="shared" ref="Q4:Q35" si="1">CHOOSE(Mese,D4,E4,F4,G4,H4,I4,J4,K4,L4,M4,N4,O4)</f>
        <v>-3920</v>
      </c>
    </row>
    <row r="5" spans="1:17" x14ac:dyDescent="0.25">
      <c r="A5" s="92"/>
      <c r="B5" s="370"/>
      <c r="C5" s="89" t="s">
        <v>161</v>
      </c>
      <c r="D5" s="431"/>
      <c r="O5" s="369"/>
      <c r="P5" s="430">
        <f t="shared" si="0"/>
        <v>0</v>
      </c>
      <c r="Q5" s="430">
        <f t="shared" si="1"/>
        <v>0</v>
      </c>
    </row>
    <row r="6" spans="1:17" x14ac:dyDescent="0.25">
      <c r="A6" s="92" t="s">
        <v>333</v>
      </c>
      <c r="B6" s="93" t="s">
        <v>372</v>
      </c>
      <c r="C6" s="94" t="s">
        <v>102</v>
      </c>
      <c r="D6" s="430">
        <v>1132</v>
      </c>
      <c r="E6" s="430">
        <v>1936.6281200000003</v>
      </c>
      <c r="F6" s="430">
        <v>2903.5131300000007</v>
      </c>
      <c r="G6" s="430">
        <v>3891.10968</v>
      </c>
      <c r="H6" s="430">
        <v>4851.0035500000004</v>
      </c>
      <c r="I6" s="430">
        <v>5815.5912100000005</v>
      </c>
      <c r="J6" s="430">
        <v>6786.376690000001</v>
      </c>
      <c r="K6" s="430">
        <v>7722.3033300000016</v>
      </c>
      <c r="L6" s="430">
        <v>8437.7173999999995</v>
      </c>
      <c r="M6" s="430">
        <v>9408.7030200000008</v>
      </c>
      <c r="N6" s="430">
        <v>10390.550779999998</v>
      </c>
      <c r="O6" s="430">
        <v>11295.617760000001</v>
      </c>
      <c r="P6" s="430">
        <f t="shared" si="0"/>
        <v>1132</v>
      </c>
      <c r="Q6" s="430">
        <f t="shared" si="1"/>
        <v>1132</v>
      </c>
    </row>
    <row r="7" spans="1:17" x14ac:dyDescent="0.25">
      <c r="A7" s="92" t="s">
        <v>333</v>
      </c>
      <c r="B7" s="93" t="s">
        <v>379</v>
      </c>
      <c r="C7" s="94" t="s">
        <v>384</v>
      </c>
      <c r="D7" s="430">
        <v>0</v>
      </c>
      <c r="E7" s="430">
        <v>167</v>
      </c>
      <c r="F7" s="430">
        <v>200.38734267431713</v>
      </c>
      <c r="G7" s="430">
        <v>266.66666666666669</v>
      </c>
      <c r="H7" s="430">
        <v>329.16666666666669</v>
      </c>
      <c r="I7" s="430">
        <v>377</v>
      </c>
      <c r="J7" s="430">
        <v>420.98333333333335</v>
      </c>
      <c r="K7" s="430">
        <v>464.60714285714289</v>
      </c>
      <c r="L7" s="430">
        <v>468</v>
      </c>
      <c r="M7" s="430">
        <v>520</v>
      </c>
      <c r="N7" s="430">
        <v>576.88888888888891</v>
      </c>
      <c r="O7" s="430">
        <v>657</v>
      </c>
      <c r="P7" s="430">
        <f t="shared" si="0"/>
        <v>0</v>
      </c>
      <c r="Q7" s="430">
        <f t="shared" si="1"/>
        <v>0</v>
      </c>
    </row>
    <row r="8" spans="1:17" x14ac:dyDescent="0.25">
      <c r="A8" s="92" t="s">
        <v>333</v>
      </c>
      <c r="B8" s="93" t="s">
        <v>373</v>
      </c>
      <c r="C8" s="94" t="s">
        <v>103</v>
      </c>
      <c r="D8" s="430">
        <v>173</v>
      </c>
      <c r="E8" s="430">
        <v>180.69541000000001</v>
      </c>
      <c r="F8" s="430">
        <v>335.23646000000002</v>
      </c>
      <c r="G8" s="430">
        <v>578.90382</v>
      </c>
      <c r="H8" s="430">
        <v>743.00382000000002</v>
      </c>
      <c r="I8" s="430">
        <v>800.10382000000004</v>
      </c>
      <c r="J8" s="430">
        <v>909.08352000000002</v>
      </c>
      <c r="K8" s="430">
        <v>995.08352000000002</v>
      </c>
      <c r="L8" s="430">
        <v>1052.36205</v>
      </c>
      <c r="M8" s="430">
        <v>1132.35394</v>
      </c>
      <c r="N8" s="430">
        <v>1202.98038</v>
      </c>
      <c r="O8" s="430">
        <v>787.43457000000001</v>
      </c>
      <c r="P8" s="430">
        <f t="shared" si="0"/>
        <v>173</v>
      </c>
      <c r="Q8" s="430">
        <f t="shared" si="1"/>
        <v>173</v>
      </c>
    </row>
    <row r="9" spans="1:17" x14ac:dyDescent="0.25">
      <c r="A9" s="92" t="s">
        <v>162</v>
      </c>
      <c r="B9" s="93" t="s">
        <v>374</v>
      </c>
      <c r="C9" s="371" t="s">
        <v>385</v>
      </c>
      <c r="D9" s="430">
        <v>0</v>
      </c>
      <c r="E9" s="430">
        <v>121.71889</v>
      </c>
      <c r="F9" s="430">
        <v>182.34242</v>
      </c>
      <c r="G9" s="430">
        <v>221.03855999999999</v>
      </c>
      <c r="H9" s="430">
        <v>278.44931000000003</v>
      </c>
      <c r="I9" s="430">
        <v>360.66669999999999</v>
      </c>
      <c r="J9" s="430">
        <v>402.10476</v>
      </c>
      <c r="K9" s="430">
        <v>447.23015000000004</v>
      </c>
      <c r="L9" s="430">
        <v>534.64762999999994</v>
      </c>
      <c r="M9" s="430">
        <v>533.94032000000004</v>
      </c>
      <c r="N9" s="430">
        <v>543.97939999999994</v>
      </c>
      <c r="O9" s="430">
        <v>691.81214999999997</v>
      </c>
      <c r="P9" s="430">
        <f t="shared" si="0"/>
        <v>0</v>
      </c>
      <c r="Q9" s="430">
        <f t="shared" si="1"/>
        <v>0</v>
      </c>
    </row>
    <row r="10" spans="1:17" x14ac:dyDescent="0.25">
      <c r="A10" s="92"/>
      <c r="B10" s="95"/>
      <c r="C10" s="96" t="s">
        <v>105</v>
      </c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>
        <f t="shared" si="0"/>
        <v>0</v>
      </c>
      <c r="Q10" s="430">
        <f t="shared" si="1"/>
        <v>0</v>
      </c>
    </row>
    <row r="11" spans="1:17" x14ac:dyDescent="0.25">
      <c r="A11" s="92" t="s">
        <v>334</v>
      </c>
      <c r="B11" s="93" t="s">
        <v>375</v>
      </c>
      <c r="C11" s="94" t="s">
        <v>106</v>
      </c>
      <c r="D11" s="430">
        <v>9</v>
      </c>
      <c r="E11" s="430">
        <v>37.859359999999995</v>
      </c>
      <c r="F11" s="430">
        <v>75.140520000000009</v>
      </c>
      <c r="G11" s="430">
        <v>101.01831</v>
      </c>
      <c r="H11" s="430">
        <v>135.46961999999999</v>
      </c>
      <c r="I11" s="430">
        <v>175.85086000000001</v>
      </c>
      <c r="J11" s="430">
        <v>203.89341333333334</v>
      </c>
      <c r="K11" s="430">
        <v>204.72232000000002</v>
      </c>
      <c r="L11" s="430">
        <v>245.77616</v>
      </c>
      <c r="M11" s="430">
        <v>276.82628</v>
      </c>
      <c r="N11" s="430">
        <v>309.27775000000003</v>
      </c>
      <c r="O11" s="430">
        <v>335.78474999999997</v>
      </c>
      <c r="P11" s="430">
        <f t="shared" si="0"/>
        <v>9</v>
      </c>
      <c r="Q11" s="430">
        <f t="shared" si="1"/>
        <v>9</v>
      </c>
    </row>
    <row r="12" spans="1:17" x14ac:dyDescent="0.25">
      <c r="A12" s="92" t="s">
        <v>334</v>
      </c>
      <c r="B12" s="93" t="s">
        <v>376</v>
      </c>
      <c r="C12" s="94" t="s">
        <v>107</v>
      </c>
      <c r="D12" s="430">
        <v>0</v>
      </c>
      <c r="E12" s="430">
        <v>64.419529999999995</v>
      </c>
      <c r="F12" s="430">
        <v>90.256799999999998</v>
      </c>
      <c r="G12" s="430">
        <v>119.29114</v>
      </c>
      <c r="H12" s="430">
        <v>144.29113999999998</v>
      </c>
      <c r="I12" s="430">
        <v>187.10397</v>
      </c>
      <c r="J12" s="430">
        <v>218.28796499999999</v>
      </c>
      <c r="K12" s="430">
        <v>249.76065</v>
      </c>
      <c r="L12" s="430">
        <v>279.59271999999999</v>
      </c>
      <c r="M12" s="430">
        <v>299.08121999999997</v>
      </c>
      <c r="N12" s="430">
        <v>329.17147999999997</v>
      </c>
      <c r="O12" s="430">
        <v>360.54144000000002</v>
      </c>
      <c r="P12" s="430">
        <f t="shared" si="0"/>
        <v>0</v>
      </c>
      <c r="Q12" s="430">
        <f t="shared" si="1"/>
        <v>0</v>
      </c>
    </row>
    <row r="13" spans="1:17" x14ac:dyDescent="0.25">
      <c r="A13" s="92" t="s">
        <v>334</v>
      </c>
      <c r="B13" s="93" t="s">
        <v>377</v>
      </c>
      <c r="C13" s="94" t="s">
        <v>108</v>
      </c>
      <c r="D13" s="430">
        <v>97</v>
      </c>
      <c r="E13" s="430">
        <v>122.66054</v>
      </c>
      <c r="F13" s="430">
        <v>188.30678999999998</v>
      </c>
      <c r="G13" s="430">
        <v>247.41619000000003</v>
      </c>
      <c r="H13" s="430">
        <v>312.31425000000002</v>
      </c>
      <c r="I13" s="430">
        <v>374.89548000000002</v>
      </c>
      <c r="J13" s="430">
        <v>437.37806000000006</v>
      </c>
      <c r="K13" s="430">
        <v>493.84960000000001</v>
      </c>
      <c r="L13" s="430">
        <v>557.93307000000016</v>
      </c>
      <c r="M13" s="430">
        <v>617.58029999999997</v>
      </c>
      <c r="N13" s="430">
        <v>651.18216999999993</v>
      </c>
      <c r="O13" s="430">
        <v>708.05915999999991</v>
      </c>
      <c r="P13" s="430">
        <f t="shared" si="0"/>
        <v>97</v>
      </c>
      <c r="Q13" s="430">
        <f t="shared" si="1"/>
        <v>97</v>
      </c>
    </row>
    <row r="14" spans="1:17" x14ac:dyDescent="0.25">
      <c r="A14" s="92" t="s">
        <v>334</v>
      </c>
      <c r="B14" s="93" t="s">
        <v>378</v>
      </c>
      <c r="C14" s="94" t="s">
        <v>386</v>
      </c>
      <c r="D14" s="430">
        <v>0</v>
      </c>
      <c r="E14" s="430">
        <v>11.71987</v>
      </c>
      <c r="F14" s="430">
        <v>22.325480000000002</v>
      </c>
      <c r="G14" s="430">
        <v>24.394729999999999</v>
      </c>
      <c r="H14" s="430">
        <v>28.320540000000001</v>
      </c>
      <c r="I14" s="430">
        <v>41.154470000000003</v>
      </c>
      <c r="J14" s="430">
        <v>49.872403333333331</v>
      </c>
      <c r="K14" s="430">
        <v>51.644640000000003</v>
      </c>
      <c r="L14" s="430">
        <v>62.885619999999996</v>
      </c>
      <c r="M14" s="430">
        <v>71.204589999999996</v>
      </c>
      <c r="N14" s="430">
        <v>80.54974</v>
      </c>
      <c r="O14" s="430">
        <v>79.4422</v>
      </c>
      <c r="P14" s="430">
        <f t="shared" si="0"/>
        <v>0</v>
      </c>
      <c r="Q14" s="430">
        <f t="shared" si="1"/>
        <v>0</v>
      </c>
    </row>
    <row r="15" spans="1:17" x14ac:dyDescent="0.25">
      <c r="A15" s="92" t="s">
        <v>334</v>
      </c>
      <c r="B15" s="93" t="s">
        <v>380</v>
      </c>
      <c r="C15" s="94" t="s">
        <v>109</v>
      </c>
      <c r="D15" s="430">
        <v>0</v>
      </c>
      <c r="E15" s="430">
        <v>0</v>
      </c>
      <c r="F15" s="430">
        <v>7.3444700000000003</v>
      </c>
      <c r="G15" s="430">
        <v>9.1723700000000008</v>
      </c>
      <c r="H15" s="430">
        <v>12.718450000000001</v>
      </c>
      <c r="I15" s="430">
        <v>21.20654</v>
      </c>
      <c r="J15" s="430">
        <v>24.740496666666662</v>
      </c>
      <c r="K15" s="430">
        <v>26.083290000000002</v>
      </c>
      <c r="L15" s="430">
        <v>24.720350000000003</v>
      </c>
      <c r="M15" s="430">
        <v>26.559370000000001</v>
      </c>
      <c r="N15" s="430">
        <v>27.922229999999999</v>
      </c>
      <c r="O15" s="430">
        <v>29.290599999999998</v>
      </c>
      <c r="P15" s="430">
        <f t="shared" si="0"/>
        <v>0</v>
      </c>
      <c r="Q15" s="430">
        <f t="shared" si="1"/>
        <v>0</v>
      </c>
    </row>
    <row r="16" spans="1:17" x14ac:dyDescent="0.25">
      <c r="A16" s="92" t="s">
        <v>334</v>
      </c>
      <c r="B16" s="93" t="s">
        <v>163</v>
      </c>
      <c r="C16" s="94" t="s">
        <v>387</v>
      </c>
      <c r="D16" s="430">
        <v>41</v>
      </c>
      <c r="E16" s="430">
        <v>9.1655400000000018</v>
      </c>
      <c r="F16" s="430">
        <v>29.588000000000005</v>
      </c>
      <c r="G16" s="430">
        <v>34.273954703196338</v>
      </c>
      <c r="H16" s="430">
        <v>44.118279999999999</v>
      </c>
      <c r="I16" s="430">
        <v>48.354729999999989</v>
      </c>
      <c r="J16" s="430">
        <v>53.030676771689492</v>
      </c>
      <c r="K16" s="430">
        <v>58.188760000000002</v>
      </c>
      <c r="L16" s="430">
        <v>65.17071</v>
      </c>
      <c r="M16" s="430">
        <v>70.601079999999996</v>
      </c>
      <c r="N16" s="430">
        <v>76.582740000000001</v>
      </c>
      <c r="O16" s="430">
        <v>18.086119999999966</v>
      </c>
      <c r="P16" s="430">
        <f t="shared" si="0"/>
        <v>41</v>
      </c>
      <c r="Q16" s="430">
        <f t="shared" si="1"/>
        <v>41</v>
      </c>
    </row>
    <row r="17" spans="1:17" x14ac:dyDescent="0.25">
      <c r="A17" s="92" t="s">
        <v>334</v>
      </c>
      <c r="B17" s="93" t="s">
        <v>164</v>
      </c>
      <c r="C17" s="94" t="s">
        <v>388</v>
      </c>
      <c r="D17" s="430">
        <v>0</v>
      </c>
      <c r="E17" s="430">
        <v>0</v>
      </c>
      <c r="F17" s="430">
        <v>0</v>
      </c>
      <c r="G17" s="430">
        <v>0</v>
      </c>
      <c r="H17" s="430">
        <v>0</v>
      </c>
      <c r="I17" s="430">
        <v>0</v>
      </c>
      <c r="J17" s="430">
        <v>0</v>
      </c>
      <c r="K17" s="430">
        <v>0</v>
      </c>
      <c r="L17" s="430">
        <v>0</v>
      </c>
      <c r="M17" s="430">
        <v>0</v>
      </c>
      <c r="N17" s="430">
        <v>0</v>
      </c>
      <c r="O17" s="430">
        <v>0</v>
      </c>
      <c r="P17" s="430">
        <f t="shared" si="0"/>
        <v>0</v>
      </c>
      <c r="Q17" s="430">
        <f t="shared" si="1"/>
        <v>0</v>
      </c>
    </row>
    <row r="18" spans="1:17" x14ac:dyDescent="0.25">
      <c r="A18" s="92"/>
      <c r="B18" s="97"/>
      <c r="C18" s="96" t="s">
        <v>113</v>
      </c>
      <c r="D18" s="430"/>
      <c r="E18" s="430"/>
      <c r="F18" s="430"/>
      <c r="G18" s="430"/>
      <c r="H18" s="430"/>
      <c r="I18" s="430"/>
      <c r="J18" s="430"/>
      <c r="K18" s="430"/>
      <c r="L18" s="430"/>
      <c r="M18" s="430"/>
      <c r="N18" s="430"/>
      <c r="O18" s="430"/>
      <c r="P18" s="430">
        <f t="shared" si="0"/>
        <v>0</v>
      </c>
      <c r="Q18" s="430">
        <f t="shared" si="1"/>
        <v>0</v>
      </c>
    </row>
    <row r="19" spans="1:17" x14ac:dyDescent="0.25">
      <c r="A19" s="92" t="s">
        <v>335</v>
      </c>
      <c r="B19" s="93" t="s">
        <v>165</v>
      </c>
      <c r="C19" s="94" t="s">
        <v>114</v>
      </c>
      <c r="D19" s="430">
        <v>42.4</v>
      </c>
      <c r="E19" s="430">
        <v>6.1143799999999997</v>
      </c>
      <c r="F19" s="430">
        <v>105.14418999999998</v>
      </c>
      <c r="G19" s="430">
        <v>134.43186482191783</v>
      </c>
      <c r="H19" s="430">
        <v>144.42095999999998</v>
      </c>
      <c r="I19" s="430">
        <v>158.11089999999996</v>
      </c>
      <c r="J19" s="430">
        <v>191.32189653424655</v>
      </c>
      <c r="K19" s="430">
        <v>224.06360999999998</v>
      </c>
      <c r="L19" s="430">
        <v>217.08053000000001</v>
      </c>
      <c r="M19" s="430">
        <v>235.48675000000003</v>
      </c>
      <c r="N19" s="430">
        <v>321.22458999999998</v>
      </c>
      <c r="O19" s="430">
        <v>358.93317999999999</v>
      </c>
      <c r="P19" s="430">
        <f t="shared" si="0"/>
        <v>42.4</v>
      </c>
      <c r="Q19" s="430">
        <f t="shared" si="1"/>
        <v>42.4</v>
      </c>
    </row>
    <row r="20" spans="1:17" x14ac:dyDescent="0.25">
      <c r="A20" s="92" t="s">
        <v>335</v>
      </c>
      <c r="B20" s="93" t="s">
        <v>166</v>
      </c>
      <c r="C20" s="94" t="s">
        <v>115</v>
      </c>
      <c r="D20" s="430">
        <v>0</v>
      </c>
      <c r="E20" s="430">
        <v>0</v>
      </c>
      <c r="F20" s="430">
        <v>7.5</v>
      </c>
      <c r="G20" s="430">
        <v>13</v>
      </c>
      <c r="H20" s="430">
        <v>13</v>
      </c>
      <c r="I20" s="430">
        <v>13</v>
      </c>
      <c r="J20" s="430">
        <v>13</v>
      </c>
      <c r="K20" s="430">
        <v>13</v>
      </c>
      <c r="L20" s="430">
        <v>91</v>
      </c>
      <c r="M20" s="430">
        <v>91</v>
      </c>
      <c r="N20" s="430">
        <v>91</v>
      </c>
      <c r="O20" s="430">
        <v>91</v>
      </c>
      <c r="P20" s="430">
        <f t="shared" si="0"/>
        <v>0</v>
      </c>
      <c r="Q20" s="430">
        <f t="shared" si="1"/>
        <v>0</v>
      </c>
    </row>
    <row r="21" spans="1:17" x14ac:dyDescent="0.25">
      <c r="A21" s="92" t="s">
        <v>335</v>
      </c>
      <c r="B21" s="93" t="s">
        <v>167</v>
      </c>
      <c r="C21" s="94" t="s">
        <v>116</v>
      </c>
      <c r="D21" s="430">
        <v>0</v>
      </c>
      <c r="E21" s="430">
        <v>0</v>
      </c>
      <c r="F21" s="430">
        <v>0</v>
      </c>
      <c r="G21" s="430">
        <v>10</v>
      </c>
      <c r="H21" s="430">
        <v>10</v>
      </c>
      <c r="I21" s="430">
        <v>10</v>
      </c>
      <c r="J21" s="430">
        <v>10</v>
      </c>
      <c r="K21" s="430">
        <v>10</v>
      </c>
      <c r="L21" s="430">
        <v>60</v>
      </c>
      <c r="M21" s="430">
        <v>60</v>
      </c>
      <c r="N21" s="430">
        <v>33</v>
      </c>
      <c r="O21" s="430">
        <v>33</v>
      </c>
      <c r="P21" s="430">
        <f t="shared" si="0"/>
        <v>0</v>
      </c>
      <c r="Q21" s="430">
        <f t="shared" si="1"/>
        <v>0</v>
      </c>
    </row>
    <row r="22" spans="1:17" x14ac:dyDescent="0.25">
      <c r="A22" s="92" t="s">
        <v>335</v>
      </c>
      <c r="B22" s="93" t="s">
        <v>168</v>
      </c>
      <c r="C22" s="94" t="s">
        <v>117</v>
      </c>
      <c r="D22" s="430">
        <v>0</v>
      </c>
      <c r="E22" s="430">
        <v>0</v>
      </c>
      <c r="F22" s="430">
        <v>24</v>
      </c>
      <c r="G22" s="430">
        <v>24</v>
      </c>
      <c r="H22" s="430">
        <v>24</v>
      </c>
      <c r="I22" s="430">
        <v>24</v>
      </c>
      <c r="J22" s="430">
        <v>24</v>
      </c>
      <c r="K22" s="430">
        <v>24</v>
      </c>
      <c r="L22" s="430">
        <v>57</v>
      </c>
      <c r="M22" s="430">
        <v>57</v>
      </c>
      <c r="N22" s="430">
        <v>57</v>
      </c>
      <c r="O22" s="430">
        <v>57</v>
      </c>
      <c r="P22" s="430">
        <f t="shared" si="0"/>
        <v>0</v>
      </c>
      <c r="Q22" s="430">
        <f t="shared" si="1"/>
        <v>0</v>
      </c>
    </row>
    <row r="23" spans="1:17" x14ac:dyDescent="0.25">
      <c r="A23" s="92" t="s">
        <v>335</v>
      </c>
      <c r="B23" s="93" t="s">
        <v>169</v>
      </c>
      <c r="C23" s="94" t="s">
        <v>118</v>
      </c>
      <c r="D23" s="430">
        <v>0</v>
      </c>
      <c r="E23" s="430">
        <v>0</v>
      </c>
      <c r="F23" s="430">
        <v>0</v>
      </c>
      <c r="G23" s="430">
        <v>0</v>
      </c>
      <c r="H23" s="430">
        <v>0</v>
      </c>
      <c r="I23" s="430">
        <v>0</v>
      </c>
      <c r="J23" s="430">
        <v>0</v>
      </c>
      <c r="K23" s="430">
        <v>0</v>
      </c>
      <c r="L23" s="430">
        <v>0</v>
      </c>
      <c r="M23" s="430">
        <v>0</v>
      </c>
      <c r="N23" s="430">
        <v>0</v>
      </c>
      <c r="O23" s="430">
        <v>0</v>
      </c>
      <c r="P23" s="430">
        <f t="shared" si="0"/>
        <v>0</v>
      </c>
      <c r="Q23" s="430">
        <f t="shared" si="1"/>
        <v>0</v>
      </c>
    </row>
    <row r="24" spans="1:17" x14ac:dyDescent="0.25">
      <c r="A24" s="92" t="s">
        <v>335</v>
      </c>
      <c r="B24" s="93" t="s">
        <v>170</v>
      </c>
      <c r="C24" s="94" t="s">
        <v>119</v>
      </c>
      <c r="D24" s="430">
        <v>0</v>
      </c>
      <c r="E24" s="430">
        <v>0</v>
      </c>
      <c r="F24" s="430">
        <v>0</v>
      </c>
      <c r="G24" s="430">
        <v>0</v>
      </c>
      <c r="H24" s="430">
        <v>0</v>
      </c>
      <c r="I24" s="430">
        <v>0</v>
      </c>
      <c r="J24" s="430">
        <v>0</v>
      </c>
      <c r="K24" s="430">
        <v>0</v>
      </c>
      <c r="L24" s="430">
        <v>0</v>
      </c>
      <c r="M24" s="430">
        <v>0</v>
      </c>
      <c r="N24" s="430">
        <v>0</v>
      </c>
      <c r="O24" s="430">
        <v>0</v>
      </c>
      <c r="P24" s="430">
        <f t="shared" si="0"/>
        <v>0</v>
      </c>
      <c r="Q24" s="430">
        <f t="shared" si="1"/>
        <v>0</v>
      </c>
    </row>
    <row r="25" spans="1:17" x14ac:dyDescent="0.25">
      <c r="A25" s="92"/>
      <c r="B25" s="93"/>
      <c r="C25" s="96" t="s">
        <v>121</v>
      </c>
      <c r="D25" s="430"/>
      <c r="E25" s="430"/>
      <c r="F25" s="430"/>
      <c r="G25" s="430"/>
      <c r="H25" s="430"/>
      <c r="I25" s="430"/>
      <c r="J25" s="430"/>
      <c r="K25" s="430"/>
      <c r="L25" s="430"/>
      <c r="M25" s="430"/>
      <c r="N25" s="430"/>
      <c r="O25" s="430"/>
      <c r="P25" s="430">
        <f t="shared" si="0"/>
        <v>0</v>
      </c>
      <c r="Q25" s="430">
        <f t="shared" si="1"/>
        <v>0</v>
      </c>
    </row>
    <row r="26" spans="1:17" x14ac:dyDescent="0.25">
      <c r="A26" s="92" t="s">
        <v>336</v>
      </c>
      <c r="B26" s="93" t="s">
        <v>171</v>
      </c>
      <c r="C26" s="94" t="s">
        <v>389</v>
      </c>
      <c r="D26" s="430">
        <v>39.4</v>
      </c>
      <c r="E26" s="430">
        <v>28.00883</v>
      </c>
      <c r="F26" s="430">
        <v>20.484729999999999</v>
      </c>
      <c r="G26" s="430">
        <v>22.807737878787876</v>
      </c>
      <c r="H26" s="430">
        <v>24.221579999999996</v>
      </c>
      <c r="I26" s="430">
        <v>32.02778</v>
      </c>
      <c r="J26" s="430">
        <v>37.182416666666668</v>
      </c>
      <c r="K26" s="430">
        <v>42.010310000000004</v>
      </c>
      <c r="L26" s="430">
        <v>40.21866</v>
      </c>
      <c r="M26" s="430">
        <v>41.134770000000003</v>
      </c>
      <c r="N26" s="430">
        <v>54.452469999999998</v>
      </c>
      <c r="O26" s="430">
        <v>76.845550000000003</v>
      </c>
      <c r="P26" s="430">
        <f t="shared" si="0"/>
        <v>39.4</v>
      </c>
      <c r="Q26" s="430">
        <f t="shared" si="1"/>
        <v>39.4</v>
      </c>
    </row>
    <row r="27" spans="1:17" x14ac:dyDescent="0.25">
      <c r="A27" s="92" t="s">
        <v>336</v>
      </c>
      <c r="B27" s="93" t="s">
        <v>172</v>
      </c>
      <c r="C27" s="94" t="s">
        <v>122</v>
      </c>
      <c r="D27" s="430">
        <v>0</v>
      </c>
      <c r="E27" s="430">
        <v>5.8389999999999997E-2</v>
      </c>
      <c r="F27" s="430">
        <v>1.1071200000000001</v>
      </c>
      <c r="G27" s="430">
        <v>4.1071200000000001</v>
      </c>
      <c r="H27" s="430">
        <v>4.2536800000000001</v>
      </c>
      <c r="I27" s="430">
        <v>7.6652200000000006</v>
      </c>
      <c r="J27" s="430">
        <v>8.9427566666666678</v>
      </c>
      <c r="K27" s="430">
        <v>10.045339999999999</v>
      </c>
      <c r="L27" s="430">
        <v>8.0453399999999995</v>
      </c>
      <c r="M27" s="430">
        <v>10.06934</v>
      </c>
      <c r="N27" s="430">
        <v>15.148340000000001</v>
      </c>
      <c r="O27" s="430">
        <v>16.35284</v>
      </c>
      <c r="P27" s="430">
        <f t="shared" si="0"/>
        <v>0</v>
      </c>
      <c r="Q27" s="430">
        <f t="shared" si="1"/>
        <v>0</v>
      </c>
    </row>
    <row r="28" spans="1:17" x14ac:dyDescent="0.25">
      <c r="A28" s="92" t="s">
        <v>336</v>
      </c>
      <c r="B28" s="93" t="s">
        <v>173</v>
      </c>
      <c r="C28" s="94" t="s">
        <v>123</v>
      </c>
      <c r="D28" s="430">
        <v>0</v>
      </c>
      <c r="E28" s="430">
        <v>0.64558000000000004</v>
      </c>
      <c r="F28" s="430">
        <v>0.89058000000000004</v>
      </c>
      <c r="G28" s="430">
        <v>1.25515</v>
      </c>
      <c r="H28" s="430">
        <v>1.25515</v>
      </c>
      <c r="I28" s="430">
        <v>6.2282900000000003</v>
      </c>
      <c r="J28" s="430">
        <v>8.1509300000000007</v>
      </c>
      <c r="K28" s="430">
        <v>8.1509300000000007</v>
      </c>
      <c r="L28" s="430">
        <v>8.1509300000000007</v>
      </c>
      <c r="M28" s="430">
        <v>8.9940099999999994</v>
      </c>
      <c r="N28" s="430">
        <v>8.9940099999999994</v>
      </c>
      <c r="O28" s="430">
        <v>17.879009999999997</v>
      </c>
      <c r="P28" s="430">
        <f t="shared" si="0"/>
        <v>0</v>
      </c>
      <c r="Q28" s="430">
        <f t="shared" si="1"/>
        <v>0</v>
      </c>
    </row>
    <row r="29" spans="1:17" x14ac:dyDescent="0.25">
      <c r="A29" s="92"/>
      <c r="B29" s="93"/>
      <c r="C29" s="96" t="s">
        <v>125</v>
      </c>
      <c r="D29" s="430"/>
      <c r="E29" s="430"/>
      <c r="F29" s="430"/>
      <c r="G29" s="430"/>
      <c r="H29" s="430"/>
      <c r="I29" s="430"/>
      <c r="J29" s="430"/>
      <c r="K29" s="430"/>
      <c r="L29" s="430"/>
      <c r="M29" s="430"/>
      <c r="N29" s="430"/>
      <c r="O29" s="430"/>
      <c r="P29" s="430">
        <f t="shared" si="0"/>
        <v>0</v>
      </c>
      <c r="Q29" s="430">
        <f t="shared" si="1"/>
        <v>0</v>
      </c>
    </row>
    <row r="30" spans="1:17" x14ac:dyDescent="0.25">
      <c r="A30" s="92" t="s">
        <v>31</v>
      </c>
      <c r="B30" s="93" t="s">
        <v>174</v>
      </c>
      <c r="C30" s="94" t="s">
        <v>126</v>
      </c>
      <c r="D30" s="430">
        <v>0</v>
      </c>
      <c r="E30" s="430">
        <v>83.456440000000001</v>
      </c>
      <c r="F30" s="430">
        <v>98.376480000000015</v>
      </c>
      <c r="G30" s="430">
        <v>125.03425661667191</v>
      </c>
      <c r="H30" s="430">
        <v>260.06878</v>
      </c>
      <c r="I30" s="430">
        <v>305.10849000000002</v>
      </c>
      <c r="J30" s="430">
        <v>360.45990263244039</v>
      </c>
      <c r="K30" s="430">
        <v>419.89461</v>
      </c>
      <c r="L30" s="430">
        <v>486.76688999999999</v>
      </c>
      <c r="M30" s="430">
        <v>549.84543999999994</v>
      </c>
      <c r="N30" s="430">
        <v>567.39409999999987</v>
      </c>
      <c r="O30" s="430">
        <v>641.15588000000002</v>
      </c>
      <c r="P30" s="430">
        <f t="shared" si="0"/>
        <v>0</v>
      </c>
      <c r="Q30" s="430">
        <f t="shared" si="1"/>
        <v>0</v>
      </c>
    </row>
    <row r="31" spans="1:17" x14ac:dyDescent="0.25">
      <c r="A31" s="92" t="s">
        <v>31</v>
      </c>
      <c r="B31" s="93" t="s">
        <v>175</v>
      </c>
      <c r="C31" s="94" t="s">
        <v>176</v>
      </c>
      <c r="D31" s="430">
        <v>0</v>
      </c>
      <c r="E31" s="430">
        <v>56.496699999999997</v>
      </c>
      <c r="F31" s="430">
        <v>11.749409999999999</v>
      </c>
      <c r="G31" s="430">
        <v>12.01111</v>
      </c>
      <c r="H31" s="430">
        <v>15.707000000000001</v>
      </c>
      <c r="I31" s="430">
        <v>22.969750000000001</v>
      </c>
      <c r="J31" s="430">
        <v>49.898041666666664</v>
      </c>
      <c r="K31" s="430">
        <v>41.125389999999996</v>
      </c>
      <c r="L31" s="430">
        <v>43.552779999999998</v>
      </c>
      <c r="M31" s="430">
        <v>54.412390000000002</v>
      </c>
      <c r="N31" s="430">
        <v>48.194540000000003</v>
      </c>
      <c r="O31" s="430">
        <v>39.483080000000001</v>
      </c>
      <c r="P31" s="430">
        <f t="shared" si="0"/>
        <v>0</v>
      </c>
      <c r="Q31" s="430">
        <f t="shared" si="1"/>
        <v>0</v>
      </c>
    </row>
    <row r="32" spans="1:17" x14ac:dyDescent="0.25">
      <c r="A32" s="92"/>
      <c r="B32" s="93"/>
      <c r="C32" s="98" t="s">
        <v>390</v>
      </c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>
        <f t="shared" si="0"/>
        <v>0</v>
      </c>
      <c r="Q32" s="430">
        <f t="shared" si="1"/>
        <v>0</v>
      </c>
    </row>
    <row r="33" spans="1:17" x14ac:dyDescent="0.25">
      <c r="A33" s="92" t="s">
        <v>31</v>
      </c>
      <c r="B33" s="93" t="s">
        <v>177</v>
      </c>
      <c r="C33" s="94" t="s">
        <v>129</v>
      </c>
      <c r="D33" s="430">
        <v>0</v>
      </c>
      <c r="E33" s="430">
        <v>46.911499999999997</v>
      </c>
      <c r="F33" s="430">
        <v>69.20514</v>
      </c>
      <c r="G33" s="430">
        <v>86.463390000000004</v>
      </c>
      <c r="H33" s="430">
        <v>114.25424999999998</v>
      </c>
      <c r="I33" s="430">
        <v>159.51770999999999</v>
      </c>
      <c r="J33" s="430">
        <v>186.103995</v>
      </c>
      <c r="K33" s="430">
        <v>255.56390999999999</v>
      </c>
      <c r="L33" s="430">
        <v>291.78147000000001</v>
      </c>
      <c r="M33" s="430">
        <v>334.88655999999997</v>
      </c>
      <c r="N33" s="430">
        <v>377.38604999999995</v>
      </c>
      <c r="O33" s="430">
        <v>417.2978</v>
      </c>
      <c r="P33" s="430">
        <f t="shared" si="0"/>
        <v>0</v>
      </c>
      <c r="Q33" s="430">
        <f t="shared" si="1"/>
        <v>0</v>
      </c>
    </row>
    <row r="34" spans="1:17" x14ac:dyDescent="0.25">
      <c r="A34" s="92" t="s">
        <v>31</v>
      </c>
      <c r="B34" s="93" t="s">
        <v>180</v>
      </c>
      <c r="C34" s="94" t="s">
        <v>391</v>
      </c>
      <c r="D34" s="430">
        <v>0</v>
      </c>
      <c r="E34" s="430">
        <v>33.139319999999998</v>
      </c>
      <c r="F34" s="430">
        <v>37.114000000000004</v>
      </c>
      <c r="G34" s="430">
        <v>77.485316666666634</v>
      </c>
      <c r="H34" s="430">
        <v>89.657349999999994</v>
      </c>
      <c r="I34" s="430">
        <v>107.58883</v>
      </c>
      <c r="J34" s="430">
        <v>125.52527666666667</v>
      </c>
      <c r="K34" s="430">
        <v>145.00044</v>
      </c>
      <c r="L34" s="430">
        <v>162.93190000000001</v>
      </c>
      <c r="M34" s="430">
        <v>179.31537</v>
      </c>
      <c r="N34" s="430">
        <v>197.24744000000001</v>
      </c>
      <c r="O34" s="430">
        <v>221.89801</v>
      </c>
      <c r="P34" s="430">
        <f t="shared" si="0"/>
        <v>0</v>
      </c>
      <c r="Q34" s="430">
        <f t="shared" si="1"/>
        <v>0</v>
      </c>
    </row>
    <row r="35" spans="1:17" x14ac:dyDescent="0.25">
      <c r="A35" s="92"/>
      <c r="B35" s="93"/>
      <c r="C35" s="99" t="s">
        <v>392</v>
      </c>
      <c r="D35" s="430"/>
      <c r="E35" s="430"/>
      <c r="F35" s="430"/>
      <c r="G35" s="430"/>
      <c r="H35" s="430"/>
      <c r="I35" s="430"/>
      <c r="J35" s="430"/>
      <c r="K35" s="430"/>
      <c r="L35" s="430"/>
      <c r="M35" s="430"/>
      <c r="N35" s="430"/>
      <c r="O35" s="430"/>
      <c r="P35" s="430">
        <f t="shared" si="0"/>
        <v>0</v>
      </c>
      <c r="Q35" s="430">
        <f t="shared" si="1"/>
        <v>0</v>
      </c>
    </row>
    <row r="36" spans="1:17" x14ac:dyDescent="0.25">
      <c r="A36" s="92" t="s">
        <v>31</v>
      </c>
      <c r="B36" s="93" t="s">
        <v>178</v>
      </c>
      <c r="C36" s="94" t="s">
        <v>393</v>
      </c>
      <c r="D36" s="430">
        <v>0</v>
      </c>
      <c r="E36" s="430">
        <v>0.11486</v>
      </c>
      <c r="F36" s="430">
        <v>7.1300499999999998</v>
      </c>
      <c r="G36" s="430">
        <v>30.852180000000001</v>
      </c>
      <c r="H36" s="430">
        <v>32.148489999999995</v>
      </c>
      <c r="I36" s="430">
        <v>28.821949999999998</v>
      </c>
      <c r="J36" s="430">
        <v>33.165091666666662</v>
      </c>
      <c r="K36" s="430">
        <v>34.183739999999993</v>
      </c>
      <c r="L36" s="430">
        <v>67.125389999999996</v>
      </c>
      <c r="M36" s="430">
        <v>27.426870000000001</v>
      </c>
      <c r="N36" s="430">
        <v>99.417649999999995</v>
      </c>
      <c r="O36" s="430">
        <v>143.32895000000002</v>
      </c>
      <c r="P36" s="430">
        <f t="shared" ref="P36:P67" si="2">IF(Mese=1,Q36,Q36-CHOOSE(Mese-1,D36,E36,F36,G36,H36,I36,J36,K36,L36,M36,N36,O36))</f>
        <v>0</v>
      </c>
      <c r="Q36" s="430">
        <f t="shared" ref="Q36:Q67" si="3">CHOOSE(Mese,D36,E36,F36,G36,H36,I36,J36,K36,L36,M36,N36,O36)</f>
        <v>0</v>
      </c>
    </row>
    <row r="37" spans="1:17" x14ac:dyDescent="0.25">
      <c r="A37" s="92" t="s">
        <v>31</v>
      </c>
      <c r="B37" s="93" t="s">
        <v>179</v>
      </c>
      <c r="C37" s="94" t="s">
        <v>130</v>
      </c>
      <c r="D37" s="430">
        <v>0</v>
      </c>
      <c r="E37" s="430">
        <v>1.1634100000000001</v>
      </c>
      <c r="F37" s="430">
        <v>7.1634099999999998</v>
      </c>
      <c r="G37" s="430">
        <v>11.548299999999999</v>
      </c>
      <c r="H37" s="430">
        <v>35.163339999999998</v>
      </c>
      <c r="I37" s="430">
        <v>54.366039999999998</v>
      </c>
      <c r="J37" s="430">
        <v>54.727550000000001</v>
      </c>
      <c r="K37" s="430">
        <v>54.366039999999998</v>
      </c>
      <c r="L37" s="430">
        <v>64.501049999999992</v>
      </c>
      <c r="M37" s="430">
        <v>64.501050000000006</v>
      </c>
      <c r="N37" s="430">
        <v>71.501050000000006</v>
      </c>
      <c r="O37" s="430">
        <v>79.749339999999989</v>
      </c>
      <c r="P37" s="430">
        <f t="shared" si="2"/>
        <v>0</v>
      </c>
      <c r="Q37" s="430">
        <f t="shared" si="3"/>
        <v>0</v>
      </c>
    </row>
    <row r="38" spans="1:17" x14ac:dyDescent="0.25">
      <c r="A38" s="92" t="s">
        <v>31</v>
      </c>
      <c r="B38" s="93" t="s">
        <v>181</v>
      </c>
      <c r="C38" s="94" t="s">
        <v>131</v>
      </c>
      <c r="D38" s="430">
        <v>0</v>
      </c>
      <c r="E38" s="430">
        <v>39.008409999999998</v>
      </c>
      <c r="F38" s="430">
        <v>44.47119</v>
      </c>
      <c r="G38" s="430">
        <v>59.553956566850303</v>
      </c>
      <c r="H38" s="430">
        <v>75.307970000000026</v>
      </c>
      <c r="I38" s="430">
        <v>96.607930000000025</v>
      </c>
      <c r="J38" s="430">
        <v>112.70925431303962</v>
      </c>
      <c r="K38" s="430">
        <v>134.37049999999999</v>
      </c>
      <c r="L38" s="430">
        <v>150.79174999999998</v>
      </c>
      <c r="M38" s="430">
        <v>168.80874</v>
      </c>
      <c r="N38" s="430">
        <v>200.57580999999999</v>
      </c>
      <c r="O38" s="430">
        <v>229.03043999999997</v>
      </c>
      <c r="P38" s="430">
        <f t="shared" si="2"/>
        <v>0</v>
      </c>
      <c r="Q38" s="430">
        <f t="shared" si="3"/>
        <v>0</v>
      </c>
    </row>
    <row r="39" spans="1:17" x14ac:dyDescent="0.25">
      <c r="A39" s="92"/>
      <c r="B39" s="93"/>
      <c r="C39" s="99" t="s">
        <v>132</v>
      </c>
      <c r="D39" s="430"/>
      <c r="E39" s="430"/>
      <c r="F39" s="430"/>
      <c r="G39" s="430"/>
      <c r="H39" s="430"/>
      <c r="I39" s="430"/>
      <c r="J39" s="430"/>
      <c r="K39" s="430"/>
      <c r="L39" s="430"/>
      <c r="M39" s="430"/>
      <c r="N39" s="430"/>
      <c r="O39" s="430"/>
      <c r="P39" s="430">
        <f t="shared" si="2"/>
        <v>0</v>
      </c>
      <c r="Q39" s="430">
        <f t="shared" si="3"/>
        <v>0</v>
      </c>
    </row>
    <row r="40" spans="1:17" x14ac:dyDescent="0.25">
      <c r="A40" s="92" t="s">
        <v>31</v>
      </c>
      <c r="B40" s="93" t="s">
        <v>182</v>
      </c>
      <c r="C40" s="94" t="s">
        <v>394</v>
      </c>
      <c r="D40" s="430">
        <v>0</v>
      </c>
      <c r="E40" s="430">
        <v>5.3873499999999996</v>
      </c>
      <c r="F40" s="430">
        <v>16.470320000000001</v>
      </c>
      <c r="G40" s="430">
        <v>18.667569999999998</v>
      </c>
      <c r="H40" s="430">
        <v>28.382489999999997</v>
      </c>
      <c r="I40" s="430">
        <v>32.428020000000004</v>
      </c>
      <c r="J40" s="430">
        <v>37.764183333333335</v>
      </c>
      <c r="K40" s="430">
        <v>39.405670000000001</v>
      </c>
      <c r="L40" s="430">
        <v>43.344449999999995</v>
      </c>
      <c r="M40" s="430">
        <v>48.953550000000007</v>
      </c>
      <c r="N40" s="430">
        <v>53.920660000000005</v>
      </c>
      <c r="O40" s="430">
        <v>62.076099999999997</v>
      </c>
      <c r="P40" s="430">
        <f t="shared" si="2"/>
        <v>0</v>
      </c>
      <c r="Q40" s="430">
        <f t="shared" si="3"/>
        <v>0</v>
      </c>
    </row>
    <row r="41" spans="1:17" x14ac:dyDescent="0.25">
      <c r="A41" s="92" t="s">
        <v>31</v>
      </c>
      <c r="B41" s="93" t="s">
        <v>183</v>
      </c>
      <c r="C41" s="94" t="s">
        <v>133</v>
      </c>
      <c r="D41" s="430">
        <v>0</v>
      </c>
      <c r="E41" s="430">
        <v>4.9259700000000004</v>
      </c>
      <c r="F41" s="430">
        <v>40.99333</v>
      </c>
      <c r="G41" s="430">
        <v>53.457403333333346</v>
      </c>
      <c r="H41" s="430">
        <v>68.75472000000002</v>
      </c>
      <c r="I41" s="430">
        <v>80.105270000000004</v>
      </c>
      <c r="J41" s="430">
        <v>93.785739444444445</v>
      </c>
      <c r="K41" s="430">
        <v>108.51356999999999</v>
      </c>
      <c r="L41" s="430">
        <v>126.62151</v>
      </c>
      <c r="M41" s="430">
        <v>136.85533999999998</v>
      </c>
      <c r="N41" s="430">
        <v>147.20367000000002</v>
      </c>
      <c r="O41" s="430">
        <v>157.56692999999999</v>
      </c>
      <c r="P41" s="430">
        <f t="shared" si="2"/>
        <v>0</v>
      </c>
      <c r="Q41" s="430">
        <f t="shared" si="3"/>
        <v>0</v>
      </c>
    </row>
    <row r="42" spans="1:17" x14ac:dyDescent="0.25">
      <c r="A42" s="92" t="s">
        <v>31</v>
      </c>
      <c r="B42" s="93" t="s">
        <v>184</v>
      </c>
      <c r="C42" s="94" t="s">
        <v>134</v>
      </c>
      <c r="D42" s="430">
        <v>0</v>
      </c>
      <c r="E42" s="430">
        <v>10.354979999999999</v>
      </c>
      <c r="F42" s="430">
        <v>28.391670000000001</v>
      </c>
      <c r="G42" s="430">
        <v>36.397594999999995</v>
      </c>
      <c r="H42" s="430">
        <v>51.66225</v>
      </c>
      <c r="I42" s="430">
        <v>66.282230000000013</v>
      </c>
      <c r="J42" s="430">
        <v>76.553971666666669</v>
      </c>
      <c r="K42" s="430">
        <v>93.039559999999994</v>
      </c>
      <c r="L42" s="430">
        <v>102.56881999999999</v>
      </c>
      <c r="M42" s="430">
        <v>115.84794000000001</v>
      </c>
      <c r="N42" s="430">
        <v>131.42507999999998</v>
      </c>
      <c r="O42" s="430">
        <v>152.09632000000002</v>
      </c>
      <c r="P42" s="430">
        <f t="shared" si="2"/>
        <v>0</v>
      </c>
      <c r="Q42" s="430">
        <f t="shared" si="3"/>
        <v>0</v>
      </c>
    </row>
    <row r="43" spans="1:17" x14ac:dyDescent="0.25">
      <c r="A43" s="92" t="s">
        <v>31</v>
      </c>
      <c r="B43" s="93" t="s">
        <v>185</v>
      </c>
      <c r="C43" s="94" t="s">
        <v>395</v>
      </c>
      <c r="D43" s="430">
        <v>0</v>
      </c>
      <c r="E43" s="430">
        <v>10.645149999999999</v>
      </c>
      <c r="F43" s="430">
        <v>19.74127</v>
      </c>
      <c r="G43" s="430">
        <v>20.03389</v>
      </c>
      <c r="H43" s="430">
        <v>24.748179999999998</v>
      </c>
      <c r="I43" s="430">
        <v>34.952830000000006</v>
      </c>
      <c r="J43" s="430">
        <v>37.764806666666665</v>
      </c>
      <c r="K43" s="430">
        <v>41.66507</v>
      </c>
      <c r="L43" s="430">
        <v>46.741969999999995</v>
      </c>
      <c r="M43" s="430">
        <v>52.057900000000004</v>
      </c>
      <c r="N43" s="430">
        <v>55.578670000000002</v>
      </c>
      <c r="O43" s="430">
        <v>63.311660000000003</v>
      </c>
      <c r="P43" s="430">
        <f t="shared" si="2"/>
        <v>0</v>
      </c>
      <c r="Q43" s="430">
        <f t="shared" si="3"/>
        <v>0</v>
      </c>
    </row>
    <row r="44" spans="1:17" x14ac:dyDescent="0.25">
      <c r="A44" s="92"/>
      <c r="B44" s="93"/>
      <c r="C44" s="99" t="s">
        <v>136</v>
      </c>
      <c r="D44" s="430"/>
      <c r="E44" s="430"/>
      <c r="F44" s="430"/>
      <c r="G44" s="430"/>
      <c r="H44" s="430"/>
      <c r="I44" s="430"/>
      <c r="J44" s="430"/>
      <c r="K44" s="430"/>
      <c r="L44" s="430"/>
      <c r="M44" s="430"/>
      <c r="N44" s="430"/>
      <c r="O44" s="430"/>
      <c r="P44" s="430">
        <f t="shared" si="2"/>
        <v>0</v>
      </c>
      <c r="Q44" s="430">
        <f t="shared" si="3"/>
        <v>0</v>
      </c>
    </row>
    <row r="45" spans="1:17" x14ac:dyDescent="0.25">
      <c r="A45" s="92" t="s">
        <v>31</v>
      </c>
      <c r="B45" s="93" t="s">
        <v>186</v>
      </c>
      <c r="C45" s="94" t="s">
        <v>137</v>
      </c>
      <c r="D45" s="430">
        <v>430</v>
      </c>
      <c r="E45" s="430">
        <v>101.25474000000031</v>
      </c>
      <c r="F45" s="430">
        <v>119.26761000000033</v>
      </c>
      <c r="G45" s="430">
        <v>136.49387819229753</v>
      </c>
      <c r="H45" s="430">
        <v>176.5074427403722</v>
      </c>
      <c r="I45" s="430">
        <v>203.12933728844689</v>
      </c>
      <c r="J45" s="430">
        <v>236.98422683652086</v>
      </c>
      <c r="K45" s="430">
        <v>275.09311638459508</v>
      </c>
      <c r="L45" s="430">
        <v>381.23069093266975</v>
      </c>
      <c r="M45" s="430">
        <v>413.59684548074392</v>
      </c>
      <c r="N45" s="430">
        <v>460.81347669548518</v>
      </c>
      <c r="O45" s="430">
        <v>506.72569457689247</v>
      </c>
      <c r="P45" s="430">
        <f t="shared" si="2"/>
        <v>430</v>
      </c>
      <c r="Q45" s="430">
        <f t="shared" si="3"/>
        <v>430</v>
      </c>
    </row>
    <row r="46" spans="1:17" x14ac:dyDescent="0.25">
      <c r="A46" s="92" t="s">
        <v>31</v>
      </c>
      <c r="B46" s="93" t="s">
        <v>187</v>
      </c>
      <c r="C46" s="94" t="s">
        <v>138</v>
      </c>
      <c r="D46" s="430">
        <v>0</v>
      </c>
      <c r="E46" s="430">
        <v>15.913160000000062</v>
      </c>
      <c r="F46" s="430">
        <v>26.420640000000002</v>
      </c>
      <c r="G46" s="430">
        <v>37.333099999999995</v>
      </c>
      <c r="H46" s="430">
        <v>44.973510000000005</v>
      </c>
      <c r="I46" s="430">
        <v>53.251780000000004</v>
      </c>
      <c r="J46" s="430">
        <v>62.127076666666667</v>
      </c>
      <c r="K46" s="430">
        <v>69.086929999999995</v>
      </c>
      <c r="L46" s="430">
        <v>77.818029999999993</v>
      </c>
      <c r="M46" s="430">
        <v>86.961690000000004</v>
      </c>
      <c r="N46" s="430">
        <v>95.740529999999993</v>
      </c>
      <c r="O46" s="430">
        <v>122.57717</v>
      </c>
      <c r="P46" s="430">
        <f t="shared" si="2"/>
        <v>0</v>
      </c>
      <c r="Q46" s="430">
        <f t="shared" si="3"/>
        <v>0</v>
      </c>
    </row>
    <row r="47" spans="1:17" x14ac:dyDescent="0.25">
      <c r="A47" s="92" t="s">
        <v>31</v>
      </c>
      <c r="B47" s="93" t="s">
        <v>188</v>
      </c>
      <c r="C47" s="94" t="s">
        <v>396</v>
      </c>
      <c r="D47" s="430">
        <v>0</v>
      </c>
      <c r="E47" s="430">
        <v>0</v>
      </c>
      <c r="F47" s="430">
        <v>0</v>
      </c>
      <c r="G47" s="430">
        <v>0</v>
      </c>
      <c r="H47" s="430">
        <v>0</v>
      </c>
      <c r="I47" s="430">
        <v>0</v>
      </c>
      <c r="J47" s="430">
        <v>0</v>
      </c>
      <c r="K47" s="430">
        <v>0</v>
      </c>
      <c r="L47" s="430">
        <v>0</v>
      </c>
      <c r="M47" s="430">
        <v>0</v>
      </c>
      <c r="N47" s="430">
        <v>0</v>
      </c>
      <c r="O47" s="430">
        <v>0</v>
      </c>
      <c r="P47" s="430">
        <f t="shared" si="2"/>
        <v>0</v>
      </c>
      <c r="Q47" s="430">
        <f t="shared" si="3"/>
        <v>0</v>
      </c>
    </row>
    <row r="48" spans="1:17" x14ac:dyDescent="0.25">
      <c r="A48" s="92" t="s">
        <v>31</v>
      </c>
      <c r="B48" s="93" t="s">
        <v>189</v>
      </c>
      <c r="C48" s="94" t="s">
        <v>95</v>
      </c>
      <c r="D48" s="430">
        <v>0</v>
      </c>
      <c r="E48" s="430">
        <v>107.83458999999999</v>
      </c>
      <c r="F48" s="430">
        <v>99.917840000000012</v>
      </c>
      <c r="G48" s="430">
        <v>100.81091000000001</v>
      </c>
      <c r="H48" s="430">
        <v>48.345189999999945</v>
      </c>
      <c r="I48" s="430">
        <v>129.43560999999994</v>
      </c>
      <c r="J48" s="430">
        <v>214.70709999999997</v>
      </c>
      <c r="K48" s="430">
        <v>236.30194999999998</v>
      </c>
      <c r="L48" s="430">
        <v>277.2803100000001</v>
      </c>
      <c r="M48" s="430">
        <v>320.04898999999995</v>
      </c>
      <c r="N48" s="430">
        <v>350.99220999999989</v>
      </c>
      <c r="O48" s="430">
        <v>355.16840999999999</v>
      </c>
      <c r="P48" s="430">
        <f t="shared" si="2"/>
        <v>0</v>
      </c>
      <c r="Q48" s="430">
        <f t="shared" si="3"/>
        <v>0</v>
      </c>
    </row>
    <row r="49" spans="1:17" x14ac:dyDescent="0.25">
      <c r="A49" s="92" t="s">
        <v>31</v>
      </c>
      <c r="B49" s="93" t="s">
        <v>190</v>
      </c>
      <c r="C49" s="94" t="s">
        <v>397</v>
      </c>
      <c r="D49" s="430">
        <v>0</v>
      </c>
      <c r="E49" s="430">
        <v>28.771860000000004</v>
      </c>
      <c r="F49" s="430">
        <v>54.768389999999997</v>
      </c>
      <c r="G49" s="430">
        <v>65.976129999999998</v>
      </c>
      <c r="H49" s="430">
        <v>75.552480000000003</v>
      </c>
      <c r="I49" s="430">
        <v>86.375429999999994</v>
      </c>
      <c r="J49" s="430">
        <v>98.671334999999999</v>
      </c>
      <c r="K49" s="430">
        <v>104.57004000000001</v>
      </c>
      <c r="L49" s="430">
        <v>119.46171000000001</v>
      </c>
      <c r="M49" s="430">
        <v>127.82810999999998</v>
      </c>
      <c r="N49" s="430">
        <v>141.80033</v>
      </c>
      <c r="O49" s="430">
        <v>155.08957999999998</v>
      </c>
      <c r="P49" s="430">
        <f t="shared" si="2"/>
        <v>0</v>
      </c>
      <c r="Q49" s="430">
        <f t="shared" si="3"/>
        <v>0</v>
      </c>
    </row>
    <row r="50" spans="1:17" x14ac:dyDescent="0.25">
      <c r="A50" s="92" t="s">
        <v>31</v>
      </c>
      <c r="B50" s="93" t="s">
        <v>191</v>
      </c>
      <c r="C50" s="94" t="s">
        <v>139</v>
      </c>
      <c r="D50" s="430">
        <v>0</v>
      </c>
      <c r="E50" s="430">
        <v>49.566379999999995</v>
      </c>
      <c r="F50" s="430">
        <v>76.713339999999988</v>
      </c>
      <c r="G50" s="430">
        <v>99.086460000000002</v>
      </c>
      <c r="H50" s="430">
        <v>123.15713</v>
      </c>
      <c r="I50" s="430">
        <v>144.71890999999999</v>
      </c>
      <c r="J50" s="430">
        <v>168.05543999999998</v>
      </c>
      <c r="K50" s="430">
        <v>190.45802</v>
      </c>
      <c r="L50" s="430">
        <v>210.91719999999998</v>
      </c>
      <c r="M50" s="430">
        <v>233.38420000000002</v>
      </c>
      <c r="N50" s="430">
        <v>255.48346000000001</v>
      </c>
      <c r="O50" s="430">
        <v>267.89684</v>
      </c>
      <c r="P50" s="430">
        <f t="shared" si="2"/>
        <v>0</v>
      </c>
      <c r="Q50" s="430">
        <f t="shared" si="3"/>
        <v>0</v>
      </c>
    </row>
    <row r="51" spans="1:17" x14ac:dyDescent="0.25">
      <c r="A51" s="92"/>
      <c r="B51" s="93"/>
      <c r="C51" s="99" t="s">
        <v>141</v>
      </c>
      <c r="D51" s="430"/>
      <c r="E51" s="430"/>
      <c r="F51" s="430"/>
      <c r="G51" s="430"/>
      <c r="H51" s="430"/>
      <c r="I51" s="430"/>
      <c r="J51" s="430"/>
      <c r="K51" s="430"/>
      <c r="L51" s="430"/>
      <c r="M51" s="430"/>
      <c r="N51" s="430"/>
      <c r="O51" s="430"/>
      <c r="P51" s="430">
        <f t="shared" si="2"/>
        <v>0</v>
      </c>
      <c r="Q51" s="430">
        <f t="shared" si="3"/>
        <v>0</v>
      </c>
    </row>
    <row r="52" spans="1:17" x14ac:dyDescent="0.25">
      <c r="A52" s="92" t="s">
        <v>31</v>
      </c>
      <c r="B52" s="93" t="s">
        <v>192</v>
      </c>
      <c r="C52" s="94" t="s">
        <v>142</v>
      </c>
      <c r="D52" s="430">
        <v>0</v>
      </c>
      <c r="E52" s="430">
        <v>45.086419999999997</v>
      </c>
      <c r="F52" s="430">
        <v>68.199550000000002</v>
      </c>
      <c r="G52" s="430">
        <v>94.517780000000002</v>
      </c>
      <c r="H52" s="430">
        <v>117.03152</v>
      </c>
      <c r="I52" s="430">
        <v>107.90752000000001</v>
      </c>
      <c r="J52" s="430">
        <v>139.02615</v>
      </c>
      <c r="K52" s="430">
        <v>171.96584000000001</v>
      </c>
      <c r="L52" s="430">
        <v>218.95582999999999</v>
      </c>
      <c r="M52" s="430">
        <v>227.35587000000001</v>
      </c>
      <c r="N52" s="430">
        <v>267.83749</v>
      </c>
      <c r="O52" s="430">
        <v>260.08593000000002</v>
      </c>
      <c r="P52" s="430">
        <f t="shared" si="2"/>
        <v>0</v>
      </c>
      <c r="Q52" s="430">
        <f t="shared" si="3"/>
        <v>0</v>
      </c>
    </row>
    <row r="53" spans="1:17" x14ac:dyDescent="0.25">
      <c r="A53" s="92" t="s">
        <v>31</v>
      </c>
      <c r="B53" s="93" t="s">
        <v>193</v>
      </c>
      <c r="C53" s="94" t="s">
        <v>143</v>
      </c>
      <c r="D53" s="430">
        <v>0</v>
      </c>
      <c r="E53" s="430">
        <v>34.973910000000004</v>
      </c>
      <c r="F53" s="430">
        <v>66.583300000000008</v>
      </c>
      <c r="G53" s="430">
        <v>69.364879999999999</v>
      </c>
      <c r="H53" s="430">
        <v>65.587670000000003</v>
      </c>
      <c r="I53" s="430">
        <v>77.947569999999999</v>
      </c>
      <c r="J53" s="430">
        <v>90.938831666666658</v>
      </c>
      <c r="K53" s="430">
        <v>111.12131000000001</v>
      </c>
      <c r="L53" s="430">
        <v>125.39540000000001</v>
      </c>
      <c r="M53" s="430">
        <v>144.37860000000001</v>
      </c>
      <c r="N53" s="430">
        <v>159.68074999999999</v>
      </c>
      <c r="O53" s="430">
        <v>174.08629000000002</v>
      </c>
      <c r="P53" s="430">
        <f t="shared" si="2"/>
        <v>0</v>
      </c>
      <c r="Q53" s="430">
        <f t="shared" si="3"/>
        <v>0</v>
      </c>
    </row>
    <row r="54" spans="1:17" x14ac:dyDescent="0.25">
      <c r="A54" s="92"/>
      <c r="B54" s="93"/>
      <c r="C54" s="99" t="s">
        <v>145</v>
      </c>
      <c r="D54" s="430"/>
      <c r="E54" s="430"/>
      <c r="F54" s="430"/>
      <c r="G54" s="430"/>
      <c r="H54" s="430"/>
      <c r="I54" s="430"/>
      <c r="J54" s="430"/>
      <c r="K54" s="430"/>
      <c r="L54" s="430"/>
      <c r="M54" s="430"/>
      <c r="N54" s="430"/>
      <c r="O54" s="430"/>
      <c r="P54" s="430">
        <f t="shared" si="2"/>
        <v>0</v>
      </c>
      <c r="Q54" s="430">
        <f t="shared" si="3"/>
        <v>0</v>
      </c>
    </row>
    <row r="55" spans="1:17" x14ac:dyDescent="0.25">
      <c r="A55" s="92" t="s">
        <v>31</v>
      </c>
      <c r="B55" s="93" t="s">
        <v>194</v>
      </c>
      <c r="C55" s="94" t="s">
        <v>146</v>
      </c>
      <c r="D55" s="430">
        <v>0</v>
      </c>
      <c r="E55" s="430">
        <v>9.7556399999999996</v>
      </c>
      <c r="F55" s="430">
        <v>14.58745</v>
      </c>
      <c r="G55" s="430">
        <v>19.579639999999998</v>
      </c>
      <c r="H55" s="430">
        <v>24.686679999999999</v>
      </c>
      <c r="I55" s="430">
        <v>34.014790000000005</v>
      </c>
      <c r="J55" s="430">
        <v>39.683921666666677</v>
      </c>
      <c r="K55" s="430">
        <v>43.529859999999999</v>
      </c>
      <c r="L55" s="430">
        <v>55.452870000000004</v>
      </c>
      <c r="M55" s="430">
        <v>55.667879999999997</v>
      </c>
      <c r="N55" s="430">
        <v>65.667879999999997</v>
      </c>
      <c r="O55" s="430">
        <v>74.720050000000001</v>
      </c>
      <c r="P55" s="430">
        <f t="shared" si="2"/>
        <v>0</v>
      </c>
      <c r="Q55" s="430">
        <f t="shared" si="3"/>
        <v>0</v>
      </c>
    </row>
    <row r="56" spans="1:17" x14ac:dyDescent="0.25">
      <c r="A56" s="92" t="s">
        <v>31</v>
      </c>
      <c r="B56" s="93" t="s">
        <v>195</v>
      </c>
      <c r="C56" s="94" t="s">
        <v>412</v>
      </c>
      <c r="D56" s="430">
        <v>0</v>
      </c>
      <c r="E56" s="430">
        <v>9.5759399999999992</v>
      </c>
      <c r="F56" s="430">
        <v>4.6738</v>
      </c>
      <c r="G56" s="430">
        <v>6.881692712712713</v>
      </c>
      <c r="H56" s="430">
        <v>9.6962099999999989</v>
      </c>
      <c r="I56" s="430">
        <v>19.551919999999999</v>
      </c>
      <c r="J56" s="430">
        <v>21.074655</v>
      </c>
      <c r="K56" s="430">
        <v>9.6369399999999992</v>
      </c>
      <c r="L56" s="430">
        <v>13.555599999999998</v>
      </c>
      <c r="M56" s="430">
        <v>16.158789999999996</v>
      </c>
      <c r="N56" s="430">
        <v>17.804870000000001</v>
      </c>
      <c r="O56" s="430">
        <v>22.904019999999999</v>
      </c>
      <c r="P56" s="430">
        <f t="shared" si="2"/>
        <v>0</v>
      </c>
      <c r="Q56" s="430">
        <f t="shared" si="3"/>
        <v>0</v>
      </c>
    </row>
    <row r="57" spans="1:17" x14ac:dyDescent="0.25">
      <c r="A57" s="92" t="s">
        <v>346</v>
      </c>
      <c r="B57" s="93" t="s">
        <v>196</v>
      </c>
      <c r="C57" s="94" t="s">
        <v>147</v>
      </c>
      <c r="D57" s="430">
        <v>93</v>
      </c>
      <c r="E57" s="430">
        <v>173.45366000000001</v>
      </c>
      <c r="F57" s="430">
        <v>162.50216</v>
      </c>
      <c r="G57" s="430">
        <v>246.2677066666667</v>
      </c>
      <c r="H57" s="430">
        <v>192.19045</v>
      </c>
      <c r="I57" s="430">
        <v>582.51233999999999</v>
      </c>
      <c r="J57" s="430">
        <v>631.57917666666685</v>
      </c>
      <c r="K57" s="430">
        <v>667.54822285714295</v>
      </c>
      <c r="L57" s="430">
        <v>1084.2173</v>
      </c>
      <c r="M57" s="430">
        <v>1147.2714533333335</v>
      </c>
      <c r="N57" s="430">
        <v>1206.6749100000002</v>
      </c>
      <c r="O57" s="430">
        <v>936.42809999999997</v>
      </c>
      <c r="P57" s="430">
        <f t="shared" si="2"/>
        <v>93</v>
      </c>
      <c r="Q57" s="430">
        <f t="shared" si="3"/>
        <v>93</v>
      </c>
    </row>
    <row r="58" spans="1:17" x14ac:dyDescent="0.25">
      <c r="A58" s="92" t="s">
        <v>330</v>
      </c>
      <c r="B58" s="93" t="s">
        <v>197</v>
      </c>
      <c r="C58" s="98" t="s">
        <v>150</v>
      </c>
      <c r="D58" s="430">
        <v>545.4</v>
      </c>
      <c r="E58" s="430">
        <v>242</v>
      </c>
      <c r="F58" s="430">
        <v>499.21019957340656</v>
      </c>
      <c r="G58" s="430">
        <v>666.10599000000082</v>
      </c>
      <c r="H58" s="430">
        <v>835.78316666666694</v>
      </c>
      <c r="I58" s="430">
        <v>992.10749999999996</v>
      </c>
      <c r="J58" s="430">
        <v>1151.3908333333334</v>
      </c>
      <c r="K58" s="430">
        <v>1314.8775014285716</v>
      </c>
      <c r="L58" s="430">
        <v>1514.8475100000001</v>
      </c>
      <c r="M58" s="430">
        <v>1685.9226600000002</v>
      </c>
      <c r="N58" s="430">
        <v>1857.836571111111</v>
      </c>
      <c r="O58" s="430">
        <v>2137.2538099999997</v>
      </c>
      <c r="P58" s="430">
        <f t="shared" si="2"/>
        <v>545.4</v>
      </c>
      <c r="Q58" s="430">
        <f t="shared" si="3"/>
        <v>545.4</v>
      </c>
    </row>
    <row r="59" spans="1:17" x14ac:dyDescent="0.25">
      <c r="A59" s="92"/>
      <c r="B59" s="370"/>
      <c r="C59" s="89" t="s">
        <v>198</v>
      </c>
      <c r="D59" s="430"/>
      <c r="E59" s="430"/>
      <c r="F59" s="430"/>
      <c r="G59" s="430"/>
      <c r="H59" s="430"/>
      <c r="I59" s="430"/>
      <c r="J59" s="430"/>
      <c r="K59" s="430"/>
      <c r="L59" s="430"/>
      <c r="M59" s="430"/>
      <c r="N59" s="430"/>
      <c r="O59" s="430"/>
      <c r="P59" s="430">
        <f t="shared" si="2"/>
        <v>0</v>
      </c>
      <c r="Q59" s="430">
        <f t="shared" si="3"/>
        <v>0</v>
      </c>
    </row>
    <row r="60" spans="1:17" x14ac:dyDescent="0.25">
      <c r="A60" s="92"/>
      <c r="B60" s="370"/>
      <c r="C60" s="100" t="s">
        <v>439</v>
      </c>
      <c r="D60" s="430"/>
      <c r="E60" s="430"/>
      <c r="F60" s="430"/>
      <c r="G60" s="430"/>
      <c r="H60" s="430"/>
      <c r="I60" s="430"/>
      <c r="J60" s="430"/>
      <c r="K60" s="430"/>
      <c r="L60" s="430"/>
      <c r="M60" s="430"/>
      <c r="N60" s="430"/>
      <c r="O60" s="430"/>
      <c r="P60" s="430">
        <f t="shared" si="2"/>
        <v>0</v>
      </c>
      <c r="Q60" s="430">
        <f t="shared" si="3"/>
        <v>0</v>
      </c>
    </row>
    <row r="61" spans="1:17" x14ac:dyDescent="0.25">
      <c r="A61" s="92" t="s">
        <v>199</v>
      </c>
      <c r="B61" s="370" t="s">
        <v>200</v>
      </c>
      <c r="C61" s="101" t="s">
        <v>433</v>
      </c>
      <c r="D61" s="430">
        <v>130</v>
      </c>
      <c r="E61" s="430">
        <v>197.63932999999997</v>
      </c>
      <c r="F61" s="430">
        <v>1864.4799700000001</v>
      </c>
      <c r="G61" s="430">
        <v>2082.8664000000003</v>
      </c>
      <c r="H61" s="430">
        <v>2081.2862599999999</v>
      </c>
      <c r="I61" s="430">
        <v>2800.0538699999997</v>
      </c>
      <c r="J61" s="430">
        <v>3192.4041699999998</v>
      </c>
      <c r="K61" s="430">
        <v>3335.1900399999995</v>
      </c>
      <c r="L61" s="430">
        <v>2925.9241700000002</v>
      </c>
      <c r="M61" s="430">
        <v>3380.3223400000006</v>
      </c>
      <c r="N61" s="430">
        <v>3477.7151599999997</v>
      </c>
      <c r="O61" s="430">
        <v>4910.0377200000003</v>
      </c>
      <c r="P61" s="430">
        <f t="shared" si="2"/>
        <v>130</v>
      </c>
      <c r="Q61" s="430">
        <f t="shared" si="3"/>
        <v>130</v>
      </c>
    </row>
    <row r="62" spans="1:17" x14ac:dyDescent="0.25">
      <c r="A62" s="92" t="s">
        <v>199</v>
      </c>
      <c r="B62" s="370" t="s">
        <v>201</v>
      </c>
      <c r="C62" s="101" t="s">
        <v>434</v>
      </c>
      <c r="D62" s="430">
        <v>0</v>
      </c>
      <c r="E62" s="430">
        <v>0</v>
      </c>
      <c r="F62" s="430">
        <v>0</v>
      </c>
      <c r="G62" s="430">
        <v>0</v>
      </c>
      <c r="H62" s="430">
        <v>0</v>
      </c>
      <c r="I62" s="430">
        <v>0</v>
      </c>
      <c r="J62" s="430">
        <v>0</v>
      </c>
      <c r="K62" s="430">
        <v>0</v>
      </c>
      <c r="L62" s="430">
        <v>0</v>
      </c>
      <c r="M62" s="430">
        <v>0</v>
      </c>
      <c r="N62" s="430">
        <v>15.31555</v>
      </c>
      <c r="O62" s="430">
        <v>14.41361</v>
      </c>
      <c r="P62" s="430">
        <f t="shared" si="2"/>
        <v>0</v>
      </c>
      <c r="Q62" s="430">
        <f t="shared" si="3"/>
        <v>0</v>
      </c>
    </row>
    <row r="63" spans="1:17" x14ac:dyDescent="0.25">
      <c r="A63" s="92" t="s">
        <v>199</v>
      </c>
      <c r="B63" s="370" t="s">
        <v>202</v>
      </c>
      <c r="C63" s="101" t="s">
        <v>435</v>
      </c>
      <c r="D63" s="430">
        <v>0</v>
      </c>
      <c r="E63" s="430">
        <v>0</v>
      </c>
      <c r="F63" s="430">
        <v>0</v>
      </c>
      <c r="G63" s="430">
        <v>0</v>
      </c>
      <c r="H63" s="430">
        <v>0</v>
      </c>
      <c r="I63" s="430">
        <v>0</v>
      </c>
      <c r="J63" s="430">
        <v>0</v>
      </c>
      <c r="K63" s="430">
        <v>0</v>
      </c>
      <c r="L63" s="430">
        <v>0</v>
      </c>
      <c r="M63" s="430">
        <v>0</v>
      </c>
      <c r="N63" s="430">
        <v>73</v>
      </c>
      <c r="O63" s="430">
        <v>78</v>
      </c>
      <c r="P63" s="430">
        <f t="shared" si="2"/>
        <v>0</v>
      </c>
      <c r="Q63" s="430">
        <f t="shared" si="3"/>
        <v>0</v>
      </c>
    </row>
    <row r="64" spans="1:17" x14ac:dyDescent="0.25">
      <c r="A64" s="92" t="s">
        <v>199</v>
      </c>
      <c r="B64" s="370" t="s">
        <v>203</v>
      </c>
      <c r="C64" s="101" t="s">
        <v>436</v>
      </c>
      <c r="D64" s="430">
        <v>0</v>
      </c>
      <c r="E64" s="430">
        <v>-159.0635000000002</v>
      </c>
      <c r="F64" s="430">
        <v>-281.63852999999983</v>
      </c>
      <c r="G64" s="430">
        <v>-352.05128999999988</v>
      </c>
      <c r="H64" s="430">
        <v>-387.03146999999979</v>
      </c>
      <c r="I64" s="430">
        <v>-448.11435999999958</v>
      </c>
      <c r="J64" s="430">
        <v>-855.55633000000012</v>
      </c>
      <c r="K64" s="430">
        <v>-738.86822000000052</v>
      </c>
      <c r="L64" s="430">
        <v>-2.4989500000002778</v>
      </c>
      <c r="M64" s="430">
        <v>217.4131244444452</v>
      </c>
      <c r="N64" s="430">
        <v>309.36929666666714</v>
      </c>
      <c r="O64" s="430">
        <v>193.60609000000056</v>
      </c>
      <c r="P64" s="430">
        <f t="shared" si="2"/>
        <v>0</v>
      </c>
      <c r="Q64" s="430">
        <f t="shared" si="3"/>
        <v>0</v>
      </c>
    </row>
    <row r="65" spans="1:17" x14ac:dyDescent="0.25">
      <c r="A65" s="92" t="s">
        <v>330</v>
      </c>
      <c r="B65" s="370" t="s">
        <v>204</v>
      </c>
      <c r="C65" s="101" t="s">
        <v>398</v>
      </c>
      <c r="D65" s="430">
        <v>0</v>
      </c>
      <c r="E65" s="430">
        <v>230</v>
      </c>
      <c r="F65" s="430">
        <v>345.56315999999998</v>
      </c>
      <c r="G65" s="430">
        <v>395.02596000000068</v>
      </c>
      <c r="H65" s="430">
        <v>446.89350999999999</v>
      </c>
      <c r="I65" s="430">
        <v>727.42524000000003</v>
      </c>
      <c r="J65" s="430">
        <v>777.42524000000003</v>
      </c>
      <c r="K65" s="430">
        <v>995.80448999999999</v>
      </c>
      <c r="L65" s="430">
        <v>1140.92497</v>
      </c>
      <c r="M65" s="430">
        <v>1285.18119</v>
      </c>
      <c r="N65" s="430">
        <v>1431.6049499999999</v>
      </c>
      <c r="O65" s="430">
        <v>1562.5951499999999</v>
      </c>
      <c r="P65" s="430">
        <f t="shared" si="2"/>
        <v>0</v>
      </c>
      <c r="Q65" s="430">
        <f t="shared" si="3"/>
        <v>0</v>
      </c>
    </row>
    <row r="66" spans="1:17" x14ac:dyDescent="0.25">
      <c r="A66" s="92" t="s">
        <v>199</v>
      </c>
      <c r="B66" s="370" t="s">
        <v>205</v>
      </c>
      <c r="C66" s="101" t="s">
        <v>431</v>
      </c>
      <c r="D66" s="430">
        <v>0</v>
      </c>
      <c r="E66" s="430">
        <v>4.4506600000000001</v>
      </c>
      <c r="F66" s="430">
        <v>22.546909999999997</v>
      </c>
      <c r="G66" s="430">
        <v>29.954995890410949</v>
      </c>
      <c r="H66" s="430">
        <v>39.231039999999993</v>
      </c>
      <c r="I66" s="430">
        <v>48.25414</v>
      </c>
      <c r="J66" s="430">
        <v>58.717380000000006</v>
      </c>
      <c r="K66" s="430">
        <v>66.421610000000001</v>
      </c>
      <c r="L66" s="430">
        <v>73.700019999999995</v>
      </c>
      <c r="M66" s="430">
        <v>81.172370000000001</v>
      </c>
      <c r="N66" s="430">
        <v>88.592489999999998</v>
      </c>
      <c r="O66" s="430">
        <v>53.964309999999998</v>
      </c>
      <c r="P66" s="430">
        <f t="shared" si="2"/>
        <v>0</v>
      </c>
      <c r="Q66" s="430">
        <f t="shared" si="3"/>
        <v>0</v>
      </c>
    </row>
    <row r="67" spans="1:17" x14ac:dyDescent="0.25">
      <c r="A67" s="92" t="s">
        <v>199</v>
      </c>
      <c r="B67" s="370" t="s">
        <v>206</v>
      </c>
      <c r="C67" s="101" t="s">
        <v>432</v>
      </c>
      <c r="D67" s="430">
        <v>0</v>
      </c>
      <c r="E67" s="430">
        <v>84</v>
      </c>
      <c r="F67" s="430">
        <v>126</v>
      </c>
      <c r="G67" s="430">
        <v>168</v>
      </c>
      <c r="H67" s="430">
        <v>210</v>
      </c>
      <c r="I67" s="430">
        <v>252</v>
      </c>
      <c r="J67" s="430">
        <v>294</v>
      </c>
      <c r="K67" s="430">
        <v>336</v>
      </c>
      <c r="L67" s="430">
        <v>378</v>
      </c>
      <c r="M67" s="430">
        <v>420</v>
      </c>
      <c r="N67" s="430">
        <v>462</v>
      </c>
      <c r="O67" s="430">
        <v>504</v>
      </c>
      <c r="P67" s="430">
        <f t="shared" si="2"/>
        <v>0</v>
      </c>
      <c r="Q67" s="430">
        <f t="shared" si="3"/>
        <v>0</v>
      </c>
    </row>
    <row r="68" spans="1:17" x14ac:dyDescent="0.25">
      <c r="A68" s="92"/>
      <c r="B68" s="370"/>
      <c r="C68" s="100" t="s">
        <v>440</v>
      </c>
      <c r="D68" s="430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>
        <f t="shared" ref="P68:P99" si="4">IF(Mese=1,Q68,Q68-CHOOSE(Mese-1,D68,E68,F68,G68,H68,I68,J68,K68,L68,M68,N68,O68))</f>
        <v>0</v>
      </c>
      <c r="Q68" s="430">
        <f t="shared" ref="Q68:Q99" si="5">CHOOSE(Mese,D68,E68,F68,G68,H68,I68,J68,K68,L68,M68,N68,O68)</f>
        <v>0</v>
      </c>
    </row>
    <row r="69" spans="1:17" x14ac:dyDescent="0.25">
      <c r="A69" s="92" t="s">
        <v>199</v>
      </c>
      <c r="B69" s="370" t="s">
        <v>207</v>
      </c>
      <c r="C69" s="101" t="s">
        <v>441</v>
      </c>
      <c r="D69" s="430">
        <v>592</v>
      </c>
      <c r="E69" s="430">
        <v>1148</v>
      </c>
      <c r="F69" s="430">
        <v>1690</v>
      </c>
      <c r="G69" s="430">
        <v>2255</v>
      </c>
      <c r="H69" s="430">
        <v>2879</v>
      </c>
      <c r="I69" s="430">
        <v>3448</v>
      </c>
      <c r="J69" s="430">
        <v>4081</v>
      </c>
      <c r="K69" s="430">
        <v>4779</v>
      </c>
      <c r="L69" s="430">
        <v>5338</v>
      </c>
      <c r="M69" s="430">
        <v>6024</v>
      </c>
      <c r="N69" s="430">
        <v>6496</v>
      </c>
      <c r="O69" s="430">
        <v>7211</v>
      </c>
      <c r="P69" s="430">
        <f t="shared" si="4"/>
        <v>592</v>
      </c>
      <c r="Q69" s="430">
        <f t="shared" si="5"/>
        <v>592</v>
      </c>
    </row>
    <row r="70" spans="1:17" x14ac:dyDescent="0.25">
      <c r="A70" s="92" t="s">
        <v>199</v>
      </c>
      <c r="B70" s="370" t="s">
        <v>208</v>
      </c>
      <c r="C70" s="101" t="s">
        <v>442</v>
      </c>
      <c r="D70" s="430">
        <v>0</v>
      </c>
      <c r="E70" s="430">
        <v>3</v>
      </c>
      <c r="F70" s="430">
        <v>4.47811</v>
      </c>
      <c r="G70" s="430">
        <v>6</v>
      </c>
      <c r="H70" s="430">
        <v>12.98659</v>
      </c>
      <c r="I70" s="430">
        <v>9.3913599999999988</v>
      </c>
      <c r="J70" s="430">
        <v>11.096830000000001</v>
      </c>
      <c r="K70" s="430">
        <v>13.41484</v>
      </c>
      <c r="L70" s="430">
        <v>16.280090000000001</v>
      </c>
      <c r="M70" s="430">
        <v>18.322690000000001</v>
      </c>
      <c r="N70" s="430">
        <v>19.214729999999999</v>
      </c>
      <c r="O70" s="430">
        <v>14.6729</v>
      </c>
      <c r="P70" s="430">
        <f t="shared" si="4"/>
        <v>0</v>
      </c>
      <c r="Q70" s="430">
        <f t="shared" si="5"/>
        <v>0</v>
      </c>
    </row>
    <row r="71" spans="1:17" x14ac:dyDescent="0.25">
      <c r="A71" s="92"/>
      <c r="B71" s="370"/>
      <c r="C71" s="100" t="s">
        <v>91</v>
      </c>
      <c r="D71" s="430"/>
      <c r="E71" s="430"/>
      <c r="F71" s="430"/>
      <c r="G71" s="430"/>
      <c r="H71" s="430"/>
      <c r="I71" s="430"/>
      <c r="J71" s="430"/>
      <c r="K71" s="430"/>
      <c r="L71" s="430"/>
      <c r="M71" s="430"/>
      <c r="N71" s="430"/>
      <c r="O71" s="430"/>
      <c r="P71" s="430">
        <f t="shared" si="4"/>
        <v>0</v>
      </c>
      <c r="Q71" s="430">
        <f t="shared" si="5"/>
        <v>0</v>
      </c>
    </row>
    <row r="72" spans="1:17" x14ac:dyDescent="0.25">
      <c r="A72" s="92" t="s">
        <v>199</v>
      </c>
      <c r="B72" s="370" t="s">
        <v>209</v>
      </c>
      <c r="C72" s="101" t="s">
        <v>437</v>
      </c>
      <c r="D72" s="430">
        <v>136</v>
      </c>
      <c r="E72" s="430">
        <v>382.27022999999997</v>
      </c>
      <c r="F72" s="430">
        <v>631.07673</v>
      </c>
      <c r="G72" s="430">
        <v>870.22387000000003</v>
      </c>
      <c r="H72" s="430">
        <v>1017.5882499999999</v>
      </c>
      <c r="I72" s="430">
        <v>1511.6924000000001</v>
      </c>
      <c r="J72" s="430">
        <v>1754.5342099999998</v>
      </c>
      <c r="K72" s="430">
        <v>2444.4117700000002</v>
      </c>
      <c r="L72" s="430">
        <v>2728.3166000000001</v>
      </c>
      <c r="M72" s="430">
        <v>2998.9949799999999</v>
      </c>
      <c r="N72" s="430">
        <v>3562.5730500000004</v>
      </c>
      <c r="O72" s="430">
        <v>3614.9152899999999</v>
      </c>
      <c r="P72" s="430">
        <f t="shared" si="4"/>
        <v>136</v>
      </c>
      <c r="Q72" s="430">
        <f t="shared" si="5"/>
        <v>136</v>
      </c>
    </row>
    <row r="73" spans="1:17" x14ac:dyDescent="0.25">
      <c r="A73" s="92" t="s">
        <v>199</v>
      </c>
      <c r="B73" s="370" t="s">
        <v>210</v>
      </c>
      <c r="C73" s="101" t="s">
        <v>438</v>
      </c>
      <c r="D73" s="430">
        <v>0</v>
      </c>
      <c r="E73" s="430">
        <v>29.741849999999999</v>
      </c>
      <c r="F73" s="430">
        <v>25.354389999999995</v>
      </c>
      <c r="G73" s="430">
        <v>33.71399030772146</v>
      </c>
      <c r="H73" s="430">
        <v>175.71665999999999</v>
      </c>
      <c r="I73" s="430">
        <v>233.89931999999999</v>
      </c>
      <c r="J73" s="430">
        <v>271.08817999999997</v>
      </c>
      <c r="K73" s="430">
        <v>318.55336</v>
      </c>
      <c r="L73" s="430">
        <v>413.33945999999997</v>
      </c>
      <c r="M73" s="430">
        <v>429.42356999999998</v>
      </c>
      <c r="N73" s="430">
        <v>445.01260000000002</v>
      </c>
      <c r="O73" s="430">
        <v>868.52083999999991</v>
      </c>
      <c r="P73" s="430">
        <f t="shared" si="4"/>
        <v>0</v>
      </c>
      <c r="Q73" s="430">
        <f t="shared" si="5"/>
        <v>0</v>
      </c>
    </row>
    <row r="74" spans="1:17" x14ac:dyDescent="0.25">
      <c r="A74" s="92" t="s">
        <v>199</v>
      </c>
      <c r="B74" s="370" t="s">
        <v>211</v>
      </c>
      <c r="C74" s="101" t="s">
        <v>90</v>
      </c>
      <c r="D74" s="430">
        <v>0</v>
      </c>
      <c r="E74" s="430">
        <v>24.789930000000002</v>
      </c>
      <c r="F74" s="430">
        <v>6.112680000000001</v>
      </c>
      <c r="G74" s="430">
        <v>19.891719480158397</v>
      </c>
      <c r="H74" s="430">
        <v>76.225120000000004</v>
      </c>
      <c r="I74" s="430">
        <v>97.338630000000009</v>
      </c>
      <c r="J74" s="430">
        <v>117.49742000000001</v>
      </c>
      <c r="K74" s="430">
        <v>139.15621000000002</v>
      </c>
      <c r="L74" s="430">
        <v>159.315</v>
      </c>
      <c r="M74" s="430">
        <v>179.47378999999998</v>
      </c>
      <c r="N74" s="430">
        <v>199.63257999999996</v>
      </c>
      <c r="O74" s="430">
        <v>219.79134999999999</v>
      </c>
      <c r="P74" s="430">
        <f t="shared" si="4"/>
        <v>0</v>
      </c>
      <c r="Q74" s="430">
        <f t="shared" si="5"/>
        <v>0</v>
      </c>
    </row>
    <row r="75" spans="1:17" x14ac:dyDescent="0.25">
      <c r="A75" s="92" t="s">
        <v>199</v>
      </c>
      <c r="B75" s="370" t="s">
        <v>212</v>
      </c>
      <c r="C75" s="101" t="s">
        <v>399</v>
      </c>
      <c r="D75" s="430">
        <v>50</v>
      </c>
      <c r="E75" s="430">
        <v>198</v>
      </c>
      <c r="F75" s="430">
        <v>217</v>
      </c>
      <c r="G75" s="430">
        <v>289.33333333333326</v>
      </c>
      <c r="H75" s="430">
        <v>359.25</v>
      </c>
      <c r="I75" s="430">
        <v>382</v>
      </c>
      <c r="J75" s="430">
        <v>439.26666666666665</v>
      </c>
      <c r="K75" s="430">
        <v>502.07142857142856</v>
      </c>
      <c r="L75" s="430">
        <v>397</v>
      </c>
      <c r="M75" s="430">
        <v>80</v>
      </c>
      <c r="N75" s="430">
        <v>127.92222222222222</v>
      </c>
      <c r="O75" s="430">
        <v>601</v>
      </c>
      <c r="P75" s="430">
        <f t="shared" si="4"/>
        <v>50</v>
      </c>
      <c r="Q75" s="430">
        <f t="shared" si="5"/>
        <v>50</v>
      </c>
    </row>
    <row r="76" spans="1:17" x14ac:dyDescent="0.25">
      <c r="A76" s="92"/>
      <c r="B76" s="370"/>
      <c r="C76" s="89" t="s">
        <v>213</v>
      </c>
      <c r="D76" s="430"/>
      <c r="E76" s="430"/>
      <c r="F76" s="430"/>
      <c r="G76" s="430"/>
      <c r="H76" s="430"/>
      <c r="I76" s="430"/>
      <c r="J76" s="430"/>
      <c r="K76" s="430"/>
      <c r="L76" s="430"/>
      <c r="M76" s="430"/>
      <c r="N76" s="430"/>
      <c r="O76" s="430"/>
      <c r="P76" s="430">
        <f t="shared" si="4"/>
        <v>0</v>
      </c>
      <c r="Q76" s="430">
        <f t="shared" si="5"/>
        <v>0</v>
      </c>
    </row>
    <row r="77" spans="1:17" x14ac:dyDescent="0.25">
      <c r="A77" s="92" t="s">
        <v>332</v>
      </c>
      <c r="B77" s="370" t="s">
        <v>215</v>
      </c>
      <c r="C77" s="102" t="s">
        <v>400</v>
      </c>
      <c r="D77" s="430">
        <v>24</v>
      </c>
      <c r="E77" s="430">
        <v>61</v>
      </c>
      <c r="F77" s="430">
        <v>91.565470000000005</v>
      </c>
      <c r="G77" s="430">
        <v>122.0873</v>
      </c>
      <c r="H77" s="430">
        <v>152.60911999999999</v>
      </c>
      <c r="I77" s="430">
        <v>183.13096000000002</v>
      </c>
      <c r="J77" s="430">
        <v>213.65278000000001</v>
      </c>
      <c r="K77" s="430">
        <v>244.1746</v>
      </c>
      <c r="L77" s="430">
        <v>287.14943999999991</v>
      </c>
      <c r="M77" s="430">
        <v>330.12427000000002</v>
      </c>
      <c r="N77" s="430">
        <v>472.72316000000006</v>
      </c>
      <c r="O77" s="430">
        <v>515.69799</v>
      </c>
      <c r="P77" s="430">
        <f t="shared" si="4"/>
        <v>24</v>
      </c>
      <c r="Q77" s="430">
        <f t="shared" si="5"/>
        <v>24</v>
      </c>
    </row>
    <row r="78" spans="1:17" x14ac:dyDescent="0.25">
      <c r="A78" s="92" t="s">
        <v>338</v>
      </c>
      <c r="B78" s="370" t="s">
        <v>216</v>
      </c>
      <c r="C78" s="102" t="s">
        <v>401</v>
      </c>
      <c r="D78" s="430">
        <v>68.400000000000006</v>
      </c>
      <c r="E78" s="430">
        <v>110</v>
      </c>
      <c r="F78" s="430">
        <v>229</v>
      </c>
      <c r="G78" s="430">
        <v>311.33333333333331</v>
      </c>
      <c r="H78" s="430">
        <v>388.75</v>
      </c>
      <c r="I78" s="430">
        <v>476</v>
      </c>
      <c r="J78" s="430">
        <v>568.93333333333328</v>
      </c>
      <c r="K78" s="430">
        <v>668.78571428571433</v>
      </c>
      <c r="L78" s="430">
        <v>756</v>
      </c>
      <c r="M78" s="430">
        <v>816.66666666666663</v>
      </c>
      <c r="N78" s="430">
        <v>834.86666666666667</v>
      </c>
      <c r="O78" s="430">
        <v>834</v>
      </c>
      <c r="P78" s="430">
        <f t="shared" si="4"/>
        <v>68.400000000000006</v>
      </c>
      <c r="Q78" s="430">
        <f t="shared" si="5"/>
        <v>68.400000000000006</v>
      </c>
    </row>
    <row r="79" spans="1:17" x14ac:dyDescent="0.25">
      <c r="A79" s="92" t="s">
        <v>347</v>
      </c>
      <c r="B79" s="370" t="s">
        <v>217</v>
      </c>
      <c r="C79" s="102" t="s">
        <v>402</v>
      </c>
      <c r="D79" s="430">
        <v>0</v>
      </c>
      <c r="E79" s="430">
        <v>1</v>
      </c>
      <c r="F79" s="430">
        <v>2.12941</v>
      </c>
      <c r="G79" s="430">
        <v>2.8392100000000005</v>
      </c>
      <c r="H79" s="430">
        <v>3.5490000000000004</v>
      </c>
      <c r="I79" s="430">
        <v>4.2588200000000001</v>
      </c>
      <c r="J79" s="430">
        <v>4.9686300000000001</v>
      </c>
      <c r="K79" s="430">
        <v>5.6784100000000004</v>
      </c>
      <c r="L79" s="430">
        <v>6.5260699999999998</v>
      </c>
      <c r="M79" s="430">
        <v>7.4013799999999996</v>
      </c>
      <c r="N79" s="430">
        <v>8.3566000000000003</v>
      </c>
      <c r="O79" s="430">
        <v>9.5158199999999997</v>
      </c>
      <c r="P79" s="430">
        <f t="shared" si="4"/>
        <v>0</v>
      </c>
      <c r="Q79" s="430">
        <f t="shared" si="5"/>
        <v>0</v>
      </c>
    </row>
    <row r="80" spans="1:17" x14ac:dyDescent="0.25">
      <c r="A80" s="92" t="s">
        <v>214</v>
      </c>
      <c r="B80" s="370" t="s">
        <v>218</v>
      </c>
      <c r="C80" s="102" t="s">
        <v>403</v>
      </c>
      <c r="D80" s="430">
        <v>0</v>
      </c>
      <c r="E80" s="430">
        <v>0.51780000000000004</v>
      </c>
      <c r="F80" s="430">
        <v>7.7107899999999994</v>
      </c>
      <c r="G80" s="430">
        <v>59.217559999999999</v>
      </c>
      <c r="H80" s="430">
        <v>74.127949999999998</v>
      </c>
      <c r="I80" s="430">
        <v>92.683189999999996</v>
      </c>
      <c r="J80" s="430">
        <v>98.28143</v>
      </c>
      <c r="K80" s="430">
        <v>111.27769000000001</v>
      </c>
      <c r="L80" s="430">
        <v>154.34030000000001</v>
      </c>
      <c r="M80" s="430">
        <v>170.20158000000001</v>
      </c>
      <c r="N80" s="430">
        <v>185.20626999999999</v>
      </c>
      <c r="O80" s="430">
        <v>200.41329999999999</v>
      </c>
      <c r="P80" s="430">
        <f t="shared" si="4"/>
        <v>0</v>
      </c>
      <c r="Q80" s="430">
        <f t="shared" si="5"/>
        <v>0</v>
      </c>
    </row>
    <row r="81" spans="1:17" x14ac:dyDescent="0.25">
      <c r="A81" s="92" t="s">
        <v>214</v>
      </c>
      <c r="B81" s="370" t="s">
        <v>219</v>
      </c>
      <c r="C81" s="102" t="s">
        <v>404</v>
      </c>
      <c r="D81" s="430">
        <v>0</v>
      </c>
      <c r="E81" s="430">
        <v>0</v>
      </c>
      <c r="F81" s="430">
        <v>152.94663</v>
      </c>
      <c r="G81" s="430">
        <v>166.80698999999998</v>
      </c>
      <c r="H81" s="430">
        <v>330.91106000000002</v>
      </c>
      <c r="I81" s="430">
        <v>671.51820999999995</v>
      </c>
      <c r="J81" s="430">
        <v>671.40740000000005</v>
      </c>
      <c r="K81" s="430">
        <v>672.72468000000003</v>
      </c>
      <c r="L81" s="430">
        <v>767.55656999999997</v>
      </c>
      <c r="M81" s="430">
        <v>768.58728999999994</v>
      </c>
      <c r="N81" s="430">
        <v>804.29455000000007</v>
      </c>
      <c r="O81" s="430">
        <v>908.55763999999999</v>
      </c>
      <c r="P81" s="430">
        <f t="shared" si="4"/>
        <v>0</v>
      </c>
      <c r="Q81" s="430">
        <f t="shared" si="5"/>
        <v>0</v>
      </c>
    </row>
    <row r="82" spans="1:17" x14ac:dyDescent="0.25">
      <c r="A82" s="92" t="s">
        <v>214</v>
      </c>
      <c r="B82" s="370" t="s">
        <v>220</v>
      </c>
      <c r="C82" s="102" t="s">
        <v>405</v>
      </c>
      <c r="D82" s="430">
        <v>0</v>
      </c>
      <c r="E82" s="430">
        <v>7.6188399999999996</v>
      </c>
      <c r="F82" s="430">
        <v>37.278259146813205</v>
      </c>
      <c r="G82" s="430">
        <v>49.596905529084268</v>
      </c>
      <c r="H82" s="430">
        <v>62.770945600183161</v>
      </c>
      <c r="I82" s="430">
        <v>37.591859999999997</v>
      </c>
      <c r="J82" s="430">
        <v>45.006913333333337</v>
      </c>
      <c r="K82" s="430">
        <v>48.939551428571434</v>
      </c>
      <c r="L82" s="430">
        <v>41.770400000000002</v>
      </c>
      <c r="M82" s="430">
        <v>46.332344444444445</v>
      </c>
      <c r="N82" s="430">
        <v>52.19840555555556</v>
      </c>
      <c r="O82" s="430">
        <v>74.428219999999996</v>
      </c>
      <c r="P82" s="430">
        <f t="shared" si="4"/>
        <v>0</v>
      </c>
      <c r="Q82" s="430">
        <f t="shared" si="5"/>
        <v>0</v>
      </c>
    </row>
    <row r="83" spans="1:17" x14ac:dyDescent="0.25">
      <c r="A83" s="92"/>
      <c r="B83" s="370"/>
      <c r="C83" s="89" t="s">
        <v>426</v>
      </c>
      <c r="D83" s="430"/>
      <c r="E83" s="430"/>
      <c r="F83" s="430"/>
      <c r="G83" s="430"/>
      <c r="H83" s="430"/>
      <c r="I83" s="430"/>
      <c r="J83" s="430"/>
      <c r="K83" s="430"/>
      <c r="L83" s="430"/>
      <c r="M83" s="430"/>
      <c r="N83" s="430"/>
      <c r="O83" s="430"/>
      <c r="P83" s="430">
        <f t="shared" si="4"/>
        <v>0</v>
      </c>
      <c r="Q83" s="430">
        <f t="shared" si="5"/>
        <v>0</v>
      </c>
    </row>
    <row r="84" spans="1:17" x14ac:dyDescent="0.25">
      <c r="A84" s="92"/>
      <c r="B84" s="370"/>
      <c r="C84" s="100" t="s">
        <v>93</v>
      </c>
      <c r="D84" s="430"/>
      <c r="E84" s="430"/>
      <c r="F84" s="430"/>
      <c r="G84" s="430"/>
      <c r="H84" s="430"/>
      <c r="I84" s="430"/>
      <c r="J84" s="430"/>
      <c r="K84" s="430"/>
      <c r="L84" s="430"/>
      <c r="M84" s="430"/>
      <c r="N84" s="430"/>
      <c r="O84" s="430"/>
      <c r="P84" s="430">
        <f t="shared" si="4"/>
        <v>0</v>
      </c>
      <c r="Q84" s="430">
        <f t="shared" si="5"/>
        <v>0</v>
      </c>
    </row>
    <row r="85" spans="1:17" x14ac:dyDescent="0.25">
      <c r="A85" s="92" t="s">
        <v>337</v>
      </c>
      <c r="B85" s="370" t="s">
        <v>221</v>
      </c>
      <c r="C85" s="103" t="s">
        <v>94</v>
      </c>
      <c r="D85" s="430">
        <v>0</v>
      </c>
      <c r="E85" s="430">
        <v>69.983509999999995</v>
      </c>
      <c r="F85" s="430">
        <v>105.53232</v>
      </c>
      <c r="G85" s="430">
        <v>141.86700999999999</v>
      </c>
      <c r="H85" s="430">
        <v>178.56220999999999</v>
      </c>
      <c r="I85" s="430">
        <v>213.72436999999999</v>
      </c>
      <c r="J85" s="430">
        <v>250.46053666666666</v>
      </c>
      <c r="K85" s="430">
        <v>287.82873000000001</v>
      </c>
      <c r="L85" s="430">
        <v>322.13852000000003</v>
      </c>
      <c r="M85" s="430">
        <v>360.46747999999997</v>
      </c>
      <c r="N85" s="430">
        <v>399.42937000000006</v>
      </c>
      <c r="O85" s="430">
        <v>432.08528000000001</v>
      </c>
      <c r="P85" s="430">
        <f t="shared" si="4"/>
        <v>0</v>
      </c>
      <c r="Q85" s="430">
        <f t="shared" si="5"/>
        <v>0</v>
      </c>
    </row>
    <row r="86" spans="1:17" x14ac:dyDescent="0.25">
      <c r="A86" s="92" t="s">
        <v>337</v>
      </c>
      <c r="B86" s="370" t="s">
        <v>222</v>
      </c>
      <c r="C86" s="103" t="s">
        <v>443</v>
      </c>
      <c r="D86" s="430">
        <v>0</v>
      </c>
      <c r="E86" s="430">
        <v>0</v>
      </c>
      <c r="F86" s="430">
        <v>103</v>
      </c>
      <c r="G86" s="430">
        <v>189.9</v>
      </c>
      <c r="H86" s="430">
        <v>311.39999999999998</v>
      </c>
      <c r="I86" s="430">
        <v>311.39999999999998</v>
      </c>
      <c r="J86" s="430">
        <v>331.4</v>
      </c>
      <c r="K86" s="430">
        <v>361.4</v>
      </c>
      <c r="L86" s="430">
        <v>406.57499999999999</v>
      </c>
      <c r="M86" s="430">
        <v>451.75</v>
      </c>
      <c r="N86" s="430">
        <v>478.5</v>
      </c>
      <c r="O86" s="430">
        <v>522</v>
      </c>
      <c r="P86" s="430">
        <f t="shared" si="4"/>
        <v>0</v>
      </c>
      <c r="Q86" s="430">
        <f t="shared" si="5"/>
        <v>0</v>
      </c>
    </row>
    <row r="87" spans="1:17" x14ac:dyDescent="0.25">
      <c r="A87" s="92" t="s">
        <v>337</v>
      </c>
      <c r="B87" s="370" t="s">
        <v>223</v>
      </c>
      <c r="C87" s="103" t="s">
        <v>96</v>
      </c>
      <c r="D87" s="430">
        <v>0</v>
      </c>
      <c r="E87" s="430">
        <v>0</v>
      </c>
      <c r="F87" s="430">
        <v>27</v>
      </c>
      <c r="G87" s="430">
        <v>27</v>
      </c>
      <c r="H87" s="430">
        <v>27</v>
      </c>
      <c r="I87" s="430">
        <v>27</v>
      </c>
      <c r="J87" s="430">
        <v>30</v>
      </c>
      <c r="K87" s="430">
        <v>31</v>
      </c>
      <c r="L87" s="430">
        <v>35</v>
      </c>
      <c r="M87" s="430">
        <v>35</v>
      </c>
      <c r="N87" s="430">
        <v>39</v>
      </c>
      <c r="O87" s="430">
        <v>39</v>
      </c>
      <c r="P87" s="430">
        <f t="shared" si="4"/>
        <v>0</v>
      </c>
      <c r="Q87" s="430">
        <f t="shared" si="5"/>
        <v>0</v>
      </c>
    </row>
    <row r="88" spans="1:17" x14ac:dyDescent="0.25">
      <c r="A88" s="92"/>
      <c r="B88" s="370"/>
      <c r="C88" s="98" t="s">
        <v>444</v>
      </c>
      <c r="D88" s="430"/>
      <c r="E88" s="430"/>
      <c r="F88" s="430"/>
      <c r="G88" s="430"/>
      <c r="H88" s="430"/>
      <c r="I88" s="430"/>
      <c r="J88" s="430"/>
      <c r="K88" s="430"/>
      <c r="L88" s="430"/>
      <c r="M88" s="430"/>
      <c r="N88" s="430"/>
      <c r="O88" s="430"/>
      <c r="P88" s="430">
        <f t="shared" si="4"/>
        <v>0</v>
      </c>
      <c r="Q88" s="430">
        <f t="shared" si="5"/>
        <v>0</v>
      </c>
    </row>
    <row r="89" spans="1:17" x14ac:dyDescent="0.25">
      <c r="A89" s="92" t="s">
        <v>330</v>
      </c>
      <c r="B89" s="370" t="s">
        <v>224</v>
      </c>
      <c r="C89" s="103" t="s">
        <v>98</v>
      </c>
      <c r="D89" s="430">
        <v>0</v>
      </c>
      <c r="E89" s="430">
        <v>229</v>
      </c>
      <c r="F89" s="430">
        <v>249.04813000000001</v>
      </c>
      <c r="G89" s="430">
        <v>331.96347919191919</v>
      </c>
      <c r="H89" s="430">
        <v>414.98533898989899</v>
      </c>
      <c r="I89" s="430">
        <v>503.42921878787877</v>
      </c>
      <c r="J89" s="430">
        <v>586.4158085858586</v>
      </c>
      <c r="K89" s="430">
        <v>672.09175838383828</v>
      </c>
      <c r="L89" s="430">
        <v>756.74385818181827</v>
      </c>
      <c r="M89" s="430">
        <v>841.39553797979784</v>
      </c>
      <c r="N89" s="430">
        <v>926.04725777777765</v>
      </c>
      <c r="O89" s="430">
        <v>1018.8448375757575</v>
      </c>
      <c r="P89" s="430">
        <f t="shared" si="4"/>
        <v>0</v>
      </c>
      <c r="Q89" s="430">
        <f t="shared" si="5"/>
        <v>0</v>
      </c>
    </row>
    <row r="90" spans="1:17" x14ac:dyDescent="0.25">
      <c r="A90" s="92" t="s">
        <v>330</v>
      </c>
      <c r="B90" s="370" t="s">
        <v>225</v>
      </c>
      <c r="C90" s="103" t="s">
        <v>99</v>
      </c>
      <c r="D90" s="430">
        <v>0</v>
      </c>
      <c r="E90" s="430">
        <v>236</v>
      </c>
      <c r="F90" s="430">
        <v>370.64181000000008</v>
      </c>
      <c r="G90" s="430">
        <v>558.55100000000004</v>
      </c>
      <c r="H90" s="430">
        <v>746.33590999999933</v>
      </c>
      <c r="I90" s="430">
        <v>795.05692999999997</v>
      </c>
      <c r="J90" s="430">
        <v>974.33426999999881</v>
      </c>
      <c r="K90" s="430">
        <v>1059.5514800000001</v>
      </c>
      <c r="L90" s="430">
        <v>1343.4478899999995</v>
      </c>
      <c r="M90" s="430">
        <v>1627.3315600000005</v>
      </c>
      <c r="N90" s="430">
        <v>1675.48101</v>
      </c>
      <c r="O90" s="430">
        <v>1964.8199399999994</v>
      </c>
      <c r="P90" s="430">
        <f t="shared" si="4"/>
        <v>0</v>
      </c>
      <c r="Q90" s="430">
        <f t="shared" si="5"/>
        <v>0</v>
      </c>
    </row>
    <row r="91" spans="1:17" x14ac:dyDescent="0.25">
      <c r="A91" s="92" t="s">
        <v>330</v>
      </c>
      <c r="B91" s="370" t="s">
        <v>226</v>
      </c>
      <c r="C91" s="103" t="s">
        <v>445</v>
      </c>
      <c r="D91" s="430">
        <v>0</v>
      </c>
      <c r="E91" s="430">
        <v>11</v>
      </c>
      <c r="F91" s="430">
        <v>16.606380000000001</v>
      </c>
      <c r="G91" s="430">
        <v>22.141779999999997</v>
      </c>
      <c r="H91" s="430">
        <v>27.765189999999997</v>
      </c>
      <c r="I91" s="430">
        <v>33.388620000000003</v>
      </c>
      <c r="J91" s="430">
        <v>39.011940000000003</v>
      </c>
      <c r="K91" s="430">
        <v>44.635339999999999</v>
      </c>
      <c r="L91" s="430">
        <v>50.258739999999996</v>
      </c>
      <c r="M91" s="430">
        <v>55.933709999999998</v>
      </c>
      <c r="N91" s="430">
        <v>61.608690000000003</v>
      </c>
      <c r="O91" s="430">
        <v>68.061130000000006</v>
      </c>
      <c r="P91" s="430">
        <f t="shared" si="4"/>
        <v>0</v>
      </c>
      <c r="Q91" s="430">
        <f t="shared" si="5"/>
        <v>0</v>
      </c>
    </row>
    <row r="92" spans="1:17" x14ac:dyDescent="0.25">
      <c r="A92" s="92"/>
      <c r="B92" s="370"/>
      <c r="C92" s="89" t="s">
        <v>446</v>
      </c>
      <c r="D92" s="430"/>
      <c r="E92" s="430"/>
      <c r="F92" s="430"/>
      <c r="G92" s="430"/>
      <c r="H92" s="430"/>
      <c r="I92" s="430"/>
      <c r="J92" s="430"/>
      <c r="K92" s="430"/>
      <c r="L92" s="430"/>
      <c r="M92" s="430"/>
      <c r="N92" s="430"/>
      <c r="O92" s="430"/>
      <c r="P92" s="430">
        <f t="shared" si="4"/>
        <v>0</v>
      </c>
      <c r="Q92" s="430">
        <f t="shared" si="5"/>
        <v>0</v>
      </c>
    </row>
    <row r="93" spans="1:17" x14ac:dyDescent="0.25">
      <c r="A93" s="92" t="s">
        <v>227</v>
      </c>
      <c r="B93" s="370" t="s">
        <v>228</v>
      </c>
      <c r="C93" s="103" t="s">
        <v>450</v>
      </c>
      <c r="D93" s="430">
        <v>183</v>
      </c>
      <c r="E93" s="430">
        <v>381.75734</v>
      </c>
      <c r="F93" s="430">
        <v>573.20161000000007</v>
      </c>
      <c r="G93" s="430">
        <v>769.52923616341036</v>
      </c>
      <c r="H93" s="430">
        <v>821.88783000000001</v>
      </c>
      <c r="I93" s="430">
        <v>851.77802999999994</v>
      </c>
      <c r="J93" s="430">
        <v>887.86262999999997</v>
      </c>
      <c r="K93" s="430">
        <v>924.31741999999997</v>
      </c>
      <c r="L93" s="430">
        <v>965.03283999999996</v>
      </c>
      <c r="M93" s="430">
        <v>995.74644999999998</v>
      </c>
      <c r="N93" s="430">
        <v>1014.2378699999999</v>
      </c>
      <c r="O93" s="430">
        <v>1021.82507</v>
      </c>
      <c r="P93" s="430">
        <f t="shared" si="4"/>
        <v>183</v>
      </c>
      <c r="Q93" s="430">
        <f t="shared" si="5"/>
        <v>183</v>
      </c>
    </row>
    <row r="94" spans="1:17" x14ac:dyDescent="0.25">
      <c r="A94" s="92" t="s">
        <v>227</v>
      </c>
      <c r="B94" s="370" t="s">
        <v>229</v>
      </c>
      <c r="C94" s="103" t="s">
        <v>449</v>
      </c>
      <c r="D94" s="430">
        <v>443</v>
      </c>
      <c r="E94" s="430">
        <v>523.05161000000021</v>
      </c>
      <c r="F94" s="430">
        <v>817.41507999999976</v>
      </c>
      <c r="G94" s="430">
        <v>1057.5056200000004</v>
      </c>
      <c r="H94" s="430">
        <v>1318.0232500000002</v>
      </c>
      <c r="I94" s="430">
        <v>1514.1822499999998</v>
      </c>
      <c r="J94" s="430">
        <v>1741.04421</v>
      </c>
      <c r="K94" s="430">
        <v>2008.4094100000002</v>
      </c>
      <c r="L94" s="430">
        <v>2274.2658200000005</v>
      </c>
      <c r="M94" s="430">
        <v>2422.7438399999992</v>
      </c>
      <c r="N94" s="430">
        <v>2854.08547</v>
      </c>
      <c r="O94" s="430">
        <v>2638.8725399999985</v>
      </c>
      <c r="P94" s="430">
        <f t="shared" si="4"/>
        <v>443</v>
      </c>
      <c r="Q94" s="430">
        <f t="shared" si="5"/>
        <v>443</v>
      </c>
    </row>
    <row r="95" spans="1:17" x14ac:dyDescent="0.25">
      <c r="A95" s="92" t="s">
        <v>227</v>
      </c>
      <c r="B95" s="370" t="s">
        <v>230</v>
      </c>
      <c r="C95" s="103" t="s">
        <v>451</v>
      </c>
      <c r="D95" s="430">
        <v>0</v>
      </c>
      <c r="E95" s="430">
        <v>312</v>
      </c>
      <c r="F95" s="430">
        <v>468</v>
      </c>
      <c r="G95" s="430">
        <v>624</v>
      </c>
      <c r="H95" s="430">
        <v>780</v>
      </c>
      <c r="I95" s="430">
        <v>936</v>
      </c>
      <c r="J95" s="430">
        <v>1092</v>
      </c>
      <c r="K95" s="430">
        <v>1248</v>
      </c>
      <c r="L95" s="430">
        <v>1404</v>
      </c>
      <c r="M95" s="430">
        <v>1560</v>
      </c>
      <c r="N95" s="430">
        <v>1716</v>
      </c>
      <c r="O95" s="430">
        <v>1872</v>
      </c>
      <c r="P95" s="430">
        <f t="shared" si="4"/>
        <v>0</v>
      </c>
      <c r="Q95" s="430">
        <f t="shared" si="5"/>
        <v>0</v>
      </c>
    </row>
    <row r="96" spans="1:17" x14ac:dyDescent="0.25">
      <c r="A96" s="92" t="s">
        <v>330</v>
      </c>
      <c r="B96" s="370" t="s">
        <v>231</v>
      </c>
      <c r="C96" s="103" t="s">
        <v>448</v>
      </c>
      <c r="D96" s="430">
        <v>0</v>
      </c>
      <c r="E96" s="430">
        <v>301</v>
      </c>
      <c r="F96" s="430">
        <v>442</v>
      </c>
      <c r="G96" s="430">
        <v>608.41543999999544</v>
      </c>
      <c r="H96" s="430">
        <v>783.17962999999736</v>
      </c>
      <c r="I96" s="430">
        <v>870</v>
      </c>
      <c r="J96" s="430">
        <v>1046</v>
      </c>
      <c r="K96" s="430">
        <v>1160</v>
      </c>
      <c r="L96" s="430">
        <v>1160</v>
      </c>
      <c r="M96" s="430">
        <v>1160</v>
      </c>
      <c r="N96" s="430">
        <v>1385</v>
      </c>
      <c r="O96" s="430">
        <v>1385</v>
      </c>
      <c r="P96" s="430">
        <f t="shared" si="4"/>
        <v>0</v>
      </c>
      <c r="Q96" s="430">
        <f t="shared" si="5"/>
        <v>0</v>
      </c>
    </row>
    <row r="97" spans="1:17" x14ac:dyDescent="0.25">
      <c r="A97" s="372" t="s">
        <v>330</v>
      </c>
      <c r="B97" s="101" t="s">
        <v>232</v>
      </c>
      <c r="C97" s="103" t="s">
        <v>447</v>
      </c>
      <c r="D97" s="430">
        <v>0</v>
      </c>
      <c r="E97" s="430">
        <v>28.06666666666667</v>
      </c>
      <c r="F97" s="430">
        <v>24</v>
      </c>
      <c r="G97" s="430">
        <v>24</v>
      </c>
      <c r="H97" s="430">
        <v>30</v>
      </c>
      <c r="I97" s="430">
        <v>36</v>
      </c>
      <c r="J97" s="430">
        <v>36</v>
      </c>
      <c r="K97" s="430">
        <v>36</v>
      </c>
      <c r="L97" s="430">
        <v>36</v>
      </c>
      <c r="M97" s="430">
        <v>36</v>
      </c>
      <c r="N97" s="430">
        <v>48</v>
      </c>
      <c r="O97" s="430">
        <v>48</v>
      </c>
      <c r="P97" s="430">
        <f t="shared" si="4"/>
        <v>0</v>
      </c>
      <c r="Q97" s="430">
        <f t="shared" si="5"/>
        <v>0</v>
      </c>
    </row>
    <row r="98" spans="1:17" x14ac:dyDescent="0.25">
      <c r="A98" s="92"/>
      <c r="B98" s="370"/>
      <c r="C98" s="89" t="s">
        <v>233</v>
      </c>
      <c r="D98" s="430"/>
      <c r="E98" s="430"/>
      <c r="F98" s="430"/>
      <c r="G98" s="430"/>
      <c r="H98" s="430"/>
      <c r="I98" s="430"/>
      <c r="J98" s="430"/>
      <c r="K98" s="430"/>
      <c r="L98" s="430"/>
      <c r="M98" s="430"/>
      <c r="N98" s="430"/>
      <c r="O98" s="430"/>
      <c r="P98" s="430">
        <f t="shared" si="4"/>
        <v>0</v>
      </c>
      <c r="Q98" s="430">
        <f t="shared" si="5"/>
        <v>0</v>
      </c>
    </row>
    <row r="99" spans="1:17" x14ac:dyDescent="0.25">
      <c r="A99" s="92" t="s">
        <v>214</v>
      </c>
      <c r="B99" s="370" t="s">
        <v>235</v>
      </c>
      <c r="C99" s="102" t="s">
        <v>406</v>
      </c>
      <c r="D99" s="430">
        <v>0</v>
      </c>
      <c r="E99" s="430">
        <v>39.8508</v>
      </c>
      <c r="F99" s="430">
        <v>32.246509999999994</v>
      </c>
      <c r="G99" s="430">
        <v>11.505121604581696</v>
      </c>
      <c r="H99" s="430">
        <v>40.429479999999998</v>
      </c>
      <c r="I99" s="430">
        <v>66.173420000000007</v>
      </c>
      <c r="J99" s="430">
        <v>105.86962</v>
      </c>
      <c r="K99" s="430">
        <v>127.70553</v>
      </c>
      <c r="L99" s="430">
        <v>78.232069999999993</v>
      </c>
      <c r="M99" s="430">
        <v>91.870920000000012</v>
      </c>
      <c r="N99" s="430">
        <v>114.27937</v>
      </c>
      <c r="O99" s="430">
        <v>115.34718000000001</v>
      </c>
      <c r="P99" s="430">
        <f t="shared" si="4"/>
        <v>0</v>
      </c>
      <c r="Q99" s="430">
        <f t="shared" si="5"/>
        <v>0</v>
      </c>
    </row>
    <row r="100" spans="1:17" x14ac:dyDescent="0.25">
      <c r="A100" s="92" t="s">
        <v>234</v>
      </c>
      <c r="B100" s="370" t="s">
        <v>236</v>
      </c>
      <c r="C100" s="102" t="s">
        <v>407</v>
      </c>
      <c r="D100" s="430">
        <v>-327</v>
      </c>
      <c r="E100" s="430">
        <v>-301.40980999999994</v>
      </c>
      <c r="F100" s="430">
        <v>-623.42196000000001</v>
      </c>
      <c r="G100" s="430">
        <v>-885.35260937198836</v>
      </c>
      <c r="H100" s="430">
        <v>-1015.0098666666665</v>
      </c>
      <c r="I100" s="430">
        <v>-1302.6956602639611</v>
      </c>
      <c r="J100" s="430">
        <v>-1593.347443641288</v>
      </c>
      <c r="K100" s="430">
        <v>-1781.7680746376625</v>
      </c>
      <c r="L100" s="430">
        <v>-1863.4204699510399</v>
      </c>
      <c r="M100" s="430">
        <v>-2044.6823911111112</v>
      </c>
      <c r="N100" s="430">
        <v>-2197.8690466666667</v>
      </c>
      <c r="O100" s="430">
        <v>-2399.1189199999994</v>
      </c>
      <c r="P100" s="430">
        <f t="shared" ref="P100:P107" si="6">IF(Mese=1,Q100,Q100-CHOOSE(Mese-1,D100,E100,F100,G100,H100,I100,J100,K100,L100,M100,N100,O100))</f>
        <v>-327</v>
      </c>
      <c r="Q100" s="430">
        <f t="shared" ref="Q100:Q107" si="7">CHOOSE(Mese,D100,E100,F100,G100,H100,I100,J100,K100,L100,M100,N100,O100)</f>
        <v>-327</v>
      </c>
    </row>
    <row r="101" spans="1:17" x14ac:dyDescent="0.25">
      <c r="A101" s="92"/>
      <c r="B101" s="370"/>
      <c r="C101" s="89" t="s">
        <v>237</v>
      </c>
      <c r="D101" s="430"/>
      <c r="E101" s="430"/>
      <c r="F101" s="430"/>
      <c r="G101" s="430"/>
      <c r="H101" s="430"/>
      <c r="I101" s="430"/>
      <c r="J101" s="430"/>
      <c r="K101" s="430"/>
      <c r="L101" s="430"/>
      <c r="M101" s="430"/>
      <c r="N101" s="430"/>
      <c r="O101" s="430"/>
      <c r="P101" s="430">
        <f t="shared" si="6"/>
        <v>0</v>
      </c>
      <c r="Q101" s="430">
        <f t="shared" si="7"/>
        <v>0</v>
      </c>
    </row>
    <row r="102" spans="1:17" x14ac:dyDescent="0.25">
      <c r="A102" s="92" t="s">
        <v>331</v>
      </c>
      <c r="B102" s="370" t="s">
        <v>239</v>
      </c>
      <c r="C102" s="102" t="s">
        <v>240</v>
      </c>
      <c r="D102" s="430">
        <v>152</v>
      </c>
      <c r="E102" s="430">
        <v>304</v>
      </c>
      <c r="F102" s="430">
        <v>455.94612999999998</v>
      </c>
      <c r="G102" s="430">
        <v>607.92810999999995</v>
      </c>
      <c r="H102" s="430">
        <v>759.91013999999996</v>
      </c>
      <c r="I102" s="430">
        <v>911.8922</v>
      </c>
      <c r="J102" s="430">
        <v>1063.87418</v>
      </c>
      <c r="K102" s="430">
        <v>1215.85619</v>
      </c>
      <c r="L102" s="430">
        <v>1367.83824</v>
      </c>
      <c r="M102" s="430">
        <v>1519.8202800000001</v>
      </c>
      <c r="N102" s="430">
        <v>1671.8022800000001</v>
      </c>
      <c r="O102" s="430">
        <v>1823.7843</v>
      </c>
      <c r="P102" s="430">
        <f t="shared" si="6"/>
        <v>152</v>
      </c>
      <c r="Q102" s="430">
        <f t="shared" si="7"/>
        <v>152</v>
      </c>
    </row>
    <row r="103" spans="1:17" x14ac:dyDescent="0.25">
      <c r="A103" s="92" t="s">
        <v>347</v>
      </c>
      <c r="B103" s="370" t="s">
        <v>241</v>
      </c>
      <c r="C103" s="102" t="s">
        <v>242</v>
      </c>
      <c r="D103" s="430">
        <v>0</v>
      </c>
      <c r="E103" s="430">
        <v>46.833333333333336</v>
      </c>
      <c r="F103" s="430">
        <v>76</v>
      </c>
      <c r="G103" s="430">
        <v>101.58338017597407</v>
      </c>
      <c r="H103" s="430">
        <v>126.9792252199676</v>
      </c>
      <c r="I103" s="430">
        <v>152.37507026396113</v>
      </c>
      <c r="J103" s="430">
        <v>177.77091530795465</v>
      </c>
      <c r="K103" s="430">
        <v>203.16676035194814</v>
      </c>
      <c r="L103" s="430">
        <v>126.98723995103988</v>
      </c>
      <c r="M103" s="430">
        <v>141.09693327893319</v>
      </c>
      <c r="N103" s="430">
        <v>155.20662660682652</v>
      </c>
      <c r="O103" s="430">
        <v>169.31631993471984</v>
      </c>
      <c r="P103" s="430">
        <f t="shared" si="6"/>
        <v>0</v>
      </c>
      <c r="Q103" s="430">
        <f t="shared" si="7"/>
        <v>0</v>
      </c>
    </row>
    <row r="104" spans="1:17" x14ac:dyDescent="0.25">
      <c r="A104" s="92" t="s">
        <v>238</v>
      </c>
      <c r="B104" s="370" t="s">
        <v>243</v>
      </c>
      <c r="C104" s="102" t="s">
        <v>244</v>
      </c>
      <c r="D104" s="430">
        <v>10</v>
      </c>
      <c r="E104" s="430">
        <v>-56.481000000000002</v>
      </c>
      <c r="F104" s="430">
        <v>-76.132930000000002</v>
      </c>
      <c r="G104" s="430">
        <v>-75.609459999999999</v>
      </c>
      <c r="H104" s="430">
        <v>-88.045900000000003</v>
      </c>
      <c r="I104" s="430">
        <v>-9.8245500000000021</v>
      </c>
      <c r="J104" s="430">
        <v>-22.178629999999998</v>
      </c>
      <c r="K104" s="430">
        <v>-16.181780000000003</v>
      </c>
      <c r="L104" s="430">
        <v>7.0600500000000466</v>
      </c>
      <c r="M104" s="430">
        <v>20.228955555555572</v>
      </c>
      <c r="N104" s="430">
        <v>341.46844111111113</v>
      </c>
      <c r="O104" s="430">
        <v>681.98712</v>
      </c>
      <c r="P104" s="430">
        <f t="shared" si="6"/>
        <v>10</v>
      </c>
      <c r="Q104" s="430">
        <f t="shared" si="7"/>
        <v>10</v>
      </c>
    </row>
    <row r="105" spans="1:17" x14ac:dyDescent="0.25">
      <c r="A105" s="92" t="s">
        <v>345</v>
      </c>
      <c r="B105" s="370" t="s">
        <v>245</v>
      </c>
      <c r="C105" s="102" t="s">
        <v>246</v>
      </c>
      <c r="D105" s="430">
        <v>-5</v>
      </c>
      <c r="E105" s="430">
        <v>0</v>
      </c>
      <c r="F105" s="430">
        <v>46.150503442185233</v>
      </c>
      <c r="G105" s="430">
        <v>61.689280455033057</v>
      </c>
      <c r="H105" s="430">
        <v>33.721200426593391</v>
      </c>
      <c r="I105" s="430">
        <v>6.66</v>
      </c>
      <c r="J105" s="430">
        <v>-37.32966666666676</v>
      </c>
      <c r="K105" s="430">
        <v>-28.162500000000083</v>
      </c>
      <c r="L105" s="430">
        <v>-6.8999999999999941</v>
      </c>
      <c r="M105" s="430">
        <v>-67.055555555555358</v>
      </c>
      <c r="N105" s="430">
        <v>-50.448444444444519</v>
      </c>
      <c r="O105" s="430">
        <v>-37.47</v>
      </c>
      <c r="P105" s="430">
        <f t="shared" si="6"/>
        <v>-5</v>
      </c>
      <c r="Q105" s="430">
        <f t="shared" si="7"/>
        <v>-5</v>
      </c>
    </row>
    <row r="106" spans="1:17" x14ac:dyDescent="0.25">
      <c r="A106" s="92"/>
      <c r="B106" s="370"/>
      <c r="C106" s="89" t="s">
        <v>247</v>
      </c>
      <c r="D106" s="430"/>
      <c r="E106" s="430"/>
      <c r="F106" s="430"/>
      <c r="G106" s="430"/>
      <c r="H106" s="430"/>
      <c r="I106" s="430"/>
      <c r="J106" s="430"/>
      <c r="K106" s="430"/>
      <c r="L106" s="430"/>
      <c r="M106" s="430"/>
      <c r="N106" s="430"/>
      <c r="O106" s="430"/>
      <c r="P106" s="430">
        <f t="shared" si="6"/>
        <v>0</v>
      </c>
      <c r="Q106" s="430">
        <f t="shared" si="7"/>
        <v>0</v>
      </c>
    </row>
    <row r="107" spans="1:17" x14ac:dyDescent="0.25">
      <c r="A107" s="92" t="s">
        <v>248</v>
      </c>
      <c r="B107" s="92" t="s">
        <v>249</v>
      </c>
      <c r="C107" s="92" t="s">
        <v>247</v>
      </c>
      <c r="D107" s="430">
        <v>33</v>
      </c>
      <c r="E107" s="430">
        <v>102.255</v>
      </c>
      <c r="F107" s="430">
        <v>212.4</v>
      </c>
      <c r="G107" s="430">
        <v>278.19017339467484</v>
      </c>
      <c r="H107" s="430">
        <v>348.50971255000007</v>
      </c>
      <c r="I107" s="430">
        <v>400</v>
      </c>
      <c r="J107" s="430">
        <v>446.50749999999999</v>
      </c>
      <c r="K107" s="430">
        <v>538.94631178571433</v>
      </c>
      <c r="L107" s="430">
        <v>625</v>
      </c>
      <c r="M107" s="430">
        <v>781.83182884444466</v>
      </c>
      <c r="N107" s="430">
        <v>618.65086546666657</v>
      </c>
      <c r="O107" s="430">
        <v>913.00424040000007</v>
      </c>
      <c r="P107" s="430">
        <f t="shared" si="6"/>
        <v>33</v>
      </c>
      <c r="Q107" s="430">
        <f t="shared" si="7"/>
        <v>33</v>
      </c>
    </row>
    <row r="108" spans="1:17" s="428" customFormat="1" x14ac:dyDescent="0.25">
      <c r="A108" s="379"/>
      <c r="B108" s="379"/>
      <c r="C108" s="379" t="s">
        <v>353</v>
      </c>
      <c r="D108" s="432"/>
      <c r="E108" s="432"/>
      <c r="F108" s="432"/>
      <c r="G108" s="432"/>
      <c r="H108" s="432"/>
      <c r="I108" s="432"/>
      <c r="J108" s="432"/>
      <c r="K108" s="432"/>
      <c r="L108" s="432"/>
      <c r="M108" s="432"/>
      <c r="N108" s="432"/>
      <c r="O108" s="432"/>
      <c r="P108" s="432"/>
      <c r="Q108" s="432"/>
    </row>
    <row r="109" spans="1:17" x14ac:dyDescent="0.25">
      <c r="A109" s="92" t="s">
        <v>250</v>
      </c>
      <c r="B109" s="92" t="s">
        <v>250</v>
      </c>
      <c r="C109" s="104" t="s">
        <v>45</v>
      </c>
      <c r="D109" s="430">
        <v>1256</v>
      </c>
      <c r="E109" s="430">
        <v>357.61036999999988</v>
      </c>
      <c r="F109" s="430">
        <v>1317.93795</v>
      </c>
      <c r="G109" s="430">
        <v>1096.0173766666667</v>
      </c>
      <c r="H109" s="430">
        <v>1386.9975566666665</v>
      </c>
      <c r="I109" s="430">
        <v>1469.4137800000003</v>
      </c>
      <c r="J109" s="430">
        <v>1689.3724166666664</v>
      </c>
      <c r="K109" s="430">
        <v>1602.2958128571431</v>
      </c>
      <c r="L109" s="430">
        <v>1027.8388500000001</v>
      </c>
      <c r="M109" s="430">
        <v>816.59344222222239</v>
      </c>
      <c r="N109" s="430">
        <v>730.24838111111114</v>
      </c>
      <c r="O109" s="430">
        <v>812.38105999999993</v>
      </c>
      <c r="P109" s="430">
        <f t="shared" ref="P109:P141" si="8">CHOOSE(Mese,D109,E109,F109,G109,H109,I109,J109,K109,L109,M109,N109,O109)</f>
        <v>1256</v>
      </c>
      <c r="Q109" s="430">
        <f>P109</f>
        <v>1256</v>
      </c>
    </row>
    <row r="110" spans="1:17" x14ac:dyDescent="0.25">
      <c r="A110" s="92" t="s">
        <v>252</v>
      </c>
      <c r="B110" s="92" t="s">
        <v>252</v>
      </c>
      <c r="C110" s="105" t="s">
        <v>253</v>
      </c>
      <c r="D110" s="430">
        <v>27002</v>
      </c>
      <c r="E110" s="430">
        <v>24886.678849999993</v>
      </c>
      <c r="F110" s="430">
        <v>26570.872180000002</v>
      </c>
      <c r="G110" s="430">
        <v>28157.858103333328</v>
      </c>
      <c r="H110" s="430">
        <v>27050.966940000002</v>
      </c>
      <c r="I110" s="430">
        <v>24199.770339999999</v>
      </c>
      <c r="J110" s="430">
        <v>25073.566636666666</v>
      </c>
      <c r="K110" s="430">
        <v>24947.026054285718</v>
      </c>
      <c r="L110" s="430">
        <v>25836.060290000001</v>
      </c>
      <c r="M110" s="430">
        <v>24663.67686</v>
      </c>
      <c r="N110" s="430">
        <v>24875.181841111109</v>
      </c>
      <c r="O110" s="430">
        <v>23854.446960000001</v>
      </c>
      <c r="P110" s="430">
        <f t="shared" si="8"/>
        <v>27002</v>
      </c>
      <c r="Q110" s="430">
        <f t="shared" ref="Q110:Q141" si="9">P110</f>
        <v>27002</v>
      </c>
    </row>
    <row r="111" spans="1:17" x14ac:dyDescent="0.25">
      <c r="A111" s="92" t="s">
        <v>254</v>
      </c>
      <c r="B111" s="92" t="s">
        <v>254</v>
      </c>
      <c r="C111" s="105" t="s">
        <v>255</v>
      </c>
      <c r="D111" s="430">
        <v>-1420</v>
      </c>
      <c r="E111" s="430">
        <v>-1272.1468600000001</v>
      </c>
      <c r="F111" s="430">
        <v>-1372.1468600000001</v>
      </c>
      <c r="G111" s="430">
        <v>-1473.1468600000001</v>
      </c>
      <c r="H111" s="430">
        <v>-1551.1468600000001</v>
      </c>
      <c r="I111" s="430">
        <v>-1637.7217799999999</v>
      </c>
      <c r="J111" s="430">
        <v>-1730.52658</v>
      </c>
      <c r="K111" s="430">
        <v>-1830.52658</v>
      </c>
      <c r="L111" s="430">
        <v>-1918.44337</v>
      </c>
      <c r="M111" s="430">
        <v>-1979.44337</v>
      </c>
      <c r="N111" s="430">
        <v>-1997.44337</v>
      </c>
      <c r="O111" s="430">
        <v>-1995.6059799999998</v>
      </c>
      <c r="P111" s="430">
        <f t="shared" si="8"/>
        <v>-1420</v>
      </c>
      <c r="Q111" s="430">
        <f t="shared" si="9"/>
        <v>-1420</v>
      </c>
    </row>
    <row r="112" spans="1:17" x14ac:dyDescent="0.25">
      <c r="A112" s="92" t="s">
        <v>256</v>
      </c>
      <c r="B112" s="92" t="s">
        <v>256</v>
      </c>
      <c r="C112" s="105" t="s">
        <v>257</v>
      </c>
      <c r="D112" s="430">
        <v>5135</v>
      </c>
      <c r="E112" s="430">
        <v>7434.8287199999995</v>
      </c>
      <c r="F112" s="430">
        <v>5780.7836299999999</v>
      </c>
      <c r="G112" s="430">
        <v>6509.3341399999999</v>
      </c>
      <c r="H112" s="430">
        <v>5554.3888399999996</v>
      </c>
      <c r="I112" s="430">
        <v>6684.6982800000005</v>
      </c>
      <c r="J112" s="430">
        <v>6942.0179400000006</v>
      </c>
      <c r="K112" s="430">
        <v>6489.9055900000012</v>
      </c>
      <c r="L112" s="430">
        <v>4874.33097</v>
      </c>
      <c r="M112" s="430">
        <v>4404.8325455999993</v>
      </c>
      <c r="N112" s="430">
        <v>4389.6923334222211</v>
      </c>
      <c r="O112" s="430">
        <v>4520.517049600001</v>
      </c>
      <c r="P112" s="430">
        <f t="shared" si="8"/>
        <v>5135</v>
      </c>
      <c r="Q112" s="430">
        <f t="shared" si="9"/>
        <v>5135</v>
      </c>
    </row>
    <row r="113" spans="1:17" x14ac:dyDescent="0.25">
      <c r="A113" s="92" t="s">
        <v>258</v>
      </c>
      <c r="B113" s="92" t="s">
        <v>258</v>
      </c>
      <c r="C113" s="105" t="s">
        <v>259</v>
      </c>
      <c r="D113" s="430">
        <v>780</v>
      </c>
      <c r="E113" s="430">
        <v>816.62411999999995</v>
      </c>
      <c r="F113" s="430">
        <v>760.40749000000005</v>
      </c>
      <c r="G113" s="430">
        <v>630.05593999999996</v>
      </c>
      <c r="H113" s="430">
        <v>709.48667</v>
      </c>
      <c r="I113" s="430">
        <v>731.13959</v>
      </c>
      <c r="J113" s="430">
        <v>652.05593999999996</v>
      </c>
      <c r="K113" s="430">
        <v>620.05593999999996</v>
      </c>
      <c r="L113" s="430">
        <v>460.6943</v>
      </c>
      <c r="M113" s="430">
        <v>452.05594000000002</v>
      </c>
      <c r="N113" s="430">
        <v>452.05594000000002</v>
      </c>
      <c r="O113" s="430">
        <v>539.61105000000009</v>
      </c>
      <c r="P113" s="430">
        <f t="shared" si="8"/>
        <v>780</v>
      </c>
      <c r="Q113" s="430">
        <f t="shared" si="9"/>
        <v>780</v>
      </c>
    </row>
    <row r="114" spans="1:17" x14ac:dyDescent="0.25">
      <c r="A114" s="92" t="s">
        <v>260</v>
      </c>
      <c r="B114" s="92" t="s">
        <v>260</v>
      </c>
      <c r="C114" s="105" t="s">
        <v>261</v>
      </c>
      <c r="D114" s="430">
        <v>0</v>
      </c>
      <c r="E114" s="430">
        <v>1033.2229400000001</v>
      </c>
      <c r="F114" s="430">
        <v>1883.7738158211405</v>
      </c>
      <c r="G114" s="430">
        <v>1701.6082977173492</v>
      </c>
      <c r="H114" s="430">
        <v>2155.1758935247835</v>
      </c>
      <c r="I114" s="430">
        <v>1500.5011036856949</v>
      </c>
      <c r="J114" s="430">
        <v>1656.7651005132714</v>
      </c>
      <c r="K114" s="430">
        <v>1816.6046544837066</v>
      </c>
      <c r="L114" s="430">
        <v>1890.9710541684262</v>
      </c>
      <c r="M114" s="430">
        <v>1220.2033287737818</v>
      </c>
      <c r="N114" s="430">
        <v>1611.3999578235812</v>
      </c>
      <c r="O114" s="430">
        <v>2000.0855946511588</v>
      </c>
      <c r="P114" s="430">
        <f t="shared" si="8"/>
        <v>0</v>
      </c>
      <c r="Q114" s="430">
        <f t="shared" si="9"/>
        <v>0</v>
      </c>
    </row>
    <row r="115" spans="1:17" x14ac:dyDescent="0.25">
      <c r="A115" s="92" t="s">
        <v>262</v>
      </c>
      <c r="B115" s="92" t="s">
        <v>262</v>
      </c>
      <c r="C115" s="105" t="s">
        <v>263</v>
      </c>
      <c r="D115" s="430">
        <v>218</v>
      </c>
      <c r="E115" s="430">
        <v>225.27579</v>
      </c>
      <c r="F115" s="430">
        <v>0</v>
      </c>
      <c r="G115" s="430">
        <v>0</v>
      </c>
      <c r="H115" s="430">
        <v>0</v>
      </c>
      <c r="I115" s="430">
        <v>0</v>
      </c>
      <c r="J115" s="430">
        <v>0</v>
      </c>
      <c r="K115" s="430">
        <v>0</v>
      </c>
      <c r="L115" s="430">
        <v>0</v>
      </c>
      <c r="M115" s="430">
        <v>0</v>
      </c>
      <c r="N115" s="430">
        <v>0</v>
      </c>
      <c r="O115" s="430">
        <v>0</v>
      </c>
      <c r="P115" s="430">
        <f t="shared" si="8"/>
        <v>218</v>
      </c>
      <c r="Q115" s="430">
        <f t="shared" si="9"/>
        <v>218</v>
      </c>
    </row>
    <row r="116" spans="1:17" s="385" customFormat="1" x14ac:dyDescent="0.25">
      <c r="A116" s="87"/>
      <c r="B116" s="92"/>
      <c r="C116" s="106" t="s">
        <v>264</v>
      </c>
      <c r="D116" s="384"/>
      <c r="E116" s="384"/>
      <c r="F116" s="384"/>
      <c r="G116" s="384"/>
      <c r="H116" s="384"/>
      <c r="I116" s="384"/>
      <c r="J116" s="384"/>
      <c r="K116" s="384"/>
      <c r="L116" s="384"/>
      <c r="M116" s="384"/>
      <c r="N116" s="384"/>
      <c r="O116" s="384"/>
      <c r="P116" s="430">
        <f t="shared" si="8"/>
        <v>0</v>
      </c>
      <c r="Q116" s="430">
        <f t="shared" si="9"/>
        <v>0</v>
      </c>
    </row>
    <row r="117" spans="1:17" x14ac:dyDescent="0.25">
      <c r="A117" s="92" t="s">
        <v>265</v>
      </c>
      <c r="B117" s="92" t="s">
        <v>265</v>
      </c>
      <c r="C117" s="105" t="s">
        <v>266</v>
      </c>
      <c r="D117" s="430">
        <v>-10827</v>
      </c>
      <c r="E117" s="430">
        <v>-11956.868179999998</v>
      </c>
      <c r="F117" s="430">
        <v>-8160.7891900000013</v>
      </c>
      <c r="G117" s="430">
        <v>-9597.1021555913976</v>
      </c>
      <c r="H117" s="430">
        <v>-9058.0249933333344</v>
      </c>
      <c r="I117" s="430">
        <v>-6592.2752200000004</v>
      </c>
      <c r="J117" s="430">
        <v>-6771.1268299999992</v>
      </c>
      <c r="K117" s="430">
        <v>-6467.2677399999993</v>
      </c>
      <c r="L117" s="430">
        <v>-8215.0486500000006</v>
      </c>
      <c r="M117" s="430">
        <v>-6781.2514644444436</v>
      </c>
      <c r="N117" s="430">
        <v>-7577.7569744444445</v>
      </c>
      <c r="O117" s="430">
        <v>-8405.3583199999994</v>
      </c>
      <c r="P117" s="430">
        <f t="shared" si="8"/>
        <v>-10827</v>
      </c>
      <c r="Q117" s="430">
        <f t="shared" si="9"/>
        <v>-10827</v>
      </c>
    </row>
    <row r="118" spans="1:17" x14ac:dyDescent="0.25">
      <c r="A118" s="92" t="s">
        <v>267</v>
      </c>
      <c r="B118" s="92" t="s">
        <v>267</v>
      </c>
      <c r="C118" s="105" t="s">
        <v>268</v>
      </c>
      <c r="D118" s="430">
        <v>0</v>
      </c>
      <c r="E118" s="430">
        <v>-934.76116000000002</v>
      </c>
      <c r="F118" s="430">
        <v>-403.04232000000002</v>
      </c>
      <c r="G118" s="430">
        <v>-987.08135339467503</v>
      </c>
      <c r="H118" s="430">
        <v>-730.49375333333342</v>
      </c>
      <c r="I118" s="430">
        <v>-512.84967000000006</v>
      </c>
      <c r="J118" s="430">
        <v>-666.49770333333345</v>
      </c>
      <c r="K118" s="430">
        <v>-381.36365000000001</v>
      </c>
      <c r="L118" s="430">
        <v>-262.09698000000003</v>
      </c>
      <c r="M118" s="430">
        <v>-230.69213555555567</v>
      </c>
      <c r="N118" s="430">
        <v>-223.38516333333334</v>
      </c>
      <c r="O118" s="430">
        <v>-437.98002000000002</v>
      </c>
      <c r="P118" s="430">
        <f t="shared" si="8"/>
        <v>0</v>
      </c>
      <c r="Q118" s="430">
        <f t="shared" si="9"/>
        <v>0</v>
      </c>
    </row>
    <row r="119" spans="1:17" x14ac:dyDescent="0.25">
      <c r="A119" s="92" t="s">
        <v>269</v>
      </c>
      <c r="B119" s="92" t="s">
        <v>269</v>
      </c>
      <c r="C119" s="105" t="s">
        <v>270</v>
      </c>
      <c r="D119" s="430">
        <v>0</v>
      </c>
      <c r="E119" s="430">
        <v>-1001.2726499999999</v>
      </c>
      <c r="F119" s="430">
        <v>-776.39605000000006</v>
      </c>
      <c r="G119" s="430">
        <v>-800.74770666666643</v>
      </c>
      <c r="H119" s="430">
        <v>-788.96125333333327</v>
      </c>
      <c r="I119" s="430">
        <v>-907.11131999999998</v>
      </c>
      <c r="J119" s="430">
        <v>-832.23468333333335</v>
      </c>
      <c r="K119" s="430">
        <v>-1085.6457757142857</v>
      </c>
      <c r="L119" s="430">
        <v>-736.18029999999999</v>
      </c>
      <c r="M119" s="430">
        <v>-668.57707666666647</v>
      </c>
      <c r="N119" s="430">
        <v>-763.7851355555556</v>
      </c>
      <c r="O119" s="430">
        <v>-795.15283999999986</v>
      </c>
      <c r="P119" s="430">
        <f t="shared" si="8"/>
        <v>0</v>
      </c>
      <c r="Q119" s="430">
        <f t="shared" si="9"/>
        <v>0</v>
      </c>
    </row>
    <row r="120" spans="1:17" x14ac:dyDescent="0.25">
      <c r="A120" s="92" t="s">
        <v>271</v>
      </c>
      <c r="B120" s="92" t="s">
        <v>271</v>
      </c>
      <c r="C120" s="105" t="s">
        <v>46</v>
      </c>
      <c r="D120" s="430">
        <v>-977</v>
      </c>
      <c r="E120" s="430">
        <v>-2054.6663800000001</v>
      </c>
      <c r="F120" s="430">
        <v>-3665.5159700000004</v>
      </c>
      <c r="G120" s="430">
        <v>-3928.4697388624172</v>
      </c>
      <c r="H120" s="430">
        <v>-3897.7968433333335</v>
      </c>
      <c r="I120" s="430">
        <v>-3323.7762199999997</v>
      </c>
      <c r="J120" s="430">
        <v>-3527.0092133333333</v>
      </c>
      <c r="K120" s="430">
        <v>-3855.1158828571433</v>
      </c>
      <c r="L120" s="430">
        <v>-2107.5387900000001</v>
      </c>
      <c r="M120" s="430">
        <v>-2262.7643022222223</v>
      </c>
      <c r="N120" s="430">
        <v>-2280.7192133333338</v>
      </c>
      <c r="O120" s="430">
        <v>-1683.7165699999998</v>
      </c>
      <c r="P120" s="430">
        <f t="shared" si="8"/>
        <v>-977</v>
      </c>
      <c r="Q120" s="430">
        <f t="shared" si="9"/>
        <v>-977</v>
      </c>
    </row>
    <row r="121" spans="1:17" x14ac:dyDescent="0.25">
      <c r="A121" s="92" t="s">
        <v>272</v>
      </c>
      <c r="B121" s="92" t="s">
        <v>272</v>
      </c>
      <c r="C121" s="105" t="s">
        <v>47</v>
      </c>
      <c r="D121" s="430">
        <v>-15844</v>
      </c>
      <c r="E121" s="430">
        <v>-11184.88997</v>
      </c>
      <c r="F121" s="430">
        <v>-12839.62818</v>
      </c>
      <c r="G121" s="430">
        <v>-13448.979226666666</v>
      </c>
      <c r="H121" s="430">
        <v>-13187.18765</v>
      </c>
      <c r="I121" s="430">
        <v>-11200.981209999998</v>
      </c>
      <c r="J121" s="430">
        <v>-11549.488173333331</v>
      </c>
      <c r="K121" s="430">
        <v>-10887.40846857143</v>
      </c>
      <c r="L121" s="430">
        <v>-9804.0838100000001</v>
      </c>
      <c r="M121" s="430">
        <v>-10023.807466666665</v>
      </c>
      <c r="N121" s="430">
        <v>-9766.1122844444453</v>
      </c>
      <c r="O121" s="430">
        <v>-8365.2935399999988</v>
      </c>
      <c r="P121" s="430">
        <f t="shared" si="8"/>
        <v>-15844</v>
      </c>
      <c r="Q121" s="430">
        <f t="shared" si="9"/>
        <v>-15844</v>
      </c>
    </row>
    <row r="122" spans="1:17" x14ac:dyDescent="0.25">
      <c r="A122" s="92" t="s">
        <v>273</v>
      </c>
      <c r="B122" s="92" t="s">
        <v>273</v>
      </c>
      <c r="C122" s="105" t="s">
        <v>274</v>
      </c>
      <c r="D122" s="430">
        <v>0</v>
      </c>
      <c r="E122" s="430">
        <v>-10.686180000000002</v>
      </c>
      <c r="F122" s="430">
        <v>-19.586839999999999</v>
      </c>
      <c r="G122" s="430">
        <v>-19.586839999999999</v>
      </c>
      <c r="H122" s="430">
        <v>-15.222200000000001</v>
      </c>
      <c r="I122" s="430">
        <v>-15.222200000000001</v>
      </c>
      <c r="J122" s="430">
        <v>-15.222200000000001</v>
      </c>
      <c r="K122" s="430">
        <v>-116.6153</v>
      </c>
      <c r="L122" s="430">
        <v>-29.899619999999999</v>
      </c>
      <c r="M122" s="430">
        <v>-15.222200000000001</v>
      </c>
      <c r="N122" s="430">
        <v>-65.899619999999999</v>
      </c>
      <c r="O122" s="430">
        <v>-56.906320000000001</v>
      </c>
      <c r="P122" s="430">
        <f t="shared" si="8"/>
        <v>0</v>
      </c>
      <c r="Q122" s="430">
        <f t="shared" si="9"/>
        <v>0</v>
      </c>
    </row>
    <row r="123" spans="1:17" x14ac:dyDescent="0.25">
      <c r="A123" s="87"/>
      <c r="B123" s="92"/>
      <c r="C123" s="107" t="s">
        <v>275</v>
      </c>
      <c r="D123" s="430"/>
      <c r="E123" s="430"/>
      <c r="F123" s="430"/>
      <c r="G123" s="430"/>
      <c r="H123" s="430"/>
      <c r="I123" s="430"/>
      <c r="J123" s="430"/>
      <c r="K123" s="430"/>
      <c r="L123" s="430"/>
      <c r="M123" s="430"/>
      <c r="N123" s="430"/>
      <c r="O123" s="430"/>
      <c r="P123" s="430">
        <f t="shared" si="8"/>
        <v>0</v>
      </c>
      <c r="Q123" s="430">
        <f t="shared" si="9"/>
        <v>0</v>
      </c>
    </row>
    <row r="124" spans="1:17" x14ac:dyDescent="0.25">
      <c r="A124" s="92" t="s">
        <v>276</v>
      </c>
      <c r="B124" s="92" t="s">
        <v>276</v>
      </c>
      <c r="C124" s="108" t="s">
        <v>49</v>
      </c>
      <c r="D124" s="430">
        <v>78757</v>
      </c>
      <c r="E124" s="430">
        <v>79147.090790000017</v>
      </c>
      <c r="F124" s="430">
        <v>79377.986430000004</v>
      </c>
      <c r="G124" s="430">
        <v>80378.856953333336</v>
      </c>
      <c r="H124" s="430">
        <v>81761.279800000018</v>
      </c>
      <c r="I124" s="430">
        <v>81140.108540000016</v>
      </c>
      <c r="J124" s="430">
        <v>81496.53601666668</v>
      </c>
      <c r="K124" s="430">
        <v>81964.480804285733</v>
      </c>
      <c r="L124" s="430">
        <v>82689.248399999997</v>
      </c>
      <c r="M124" s="430">
        <v>82918.751733333338</v>
      </c>
      <c r="N124" s="430">
        <v>82965.732726666654</v>
      </c>
      <c r="O124" s="430">
        <v>83516.188579999987</v>
      </c>
      <c r="P124" s="430">
        <f t="shared" si="8"/>
        <v>78757</v>
      </c>
      <c r="Q124" s="430">
        <f t="shared" si="9"/>
        <v>78757</v>
      </c>
    </row>
    <row r="125" spans="1:17" x14ac:dyDescent="0.25">
      <c r="A125" s="92" t="s">
        <v>277</v>
      </c>
      <c r="B125" s="92" t="s">
        <v>277</v>
      </c>
      <c r="C125" s="108" t="s">
        <v>50</v>
      </c>
      <c r="D125" s="430">
        <v>-8701</v>
      </c>
      <c r="E125" s="430">
        <v>-9783.6402801122767</v>
      </c>
      <c r="F125" s="430">
        <v>-10184.01002</v>
      </c>
      <c r="G125" s="430">
        <v>-10746.426162525249</v>
      </c>
      <c r="H125" s="430">
        <v>-11314.522518989901</v>
      </c>
      <c r="I125" s="430">
        <v>-11989.23452878788</v>
      </c>
      <c r="J125" s="430">
        <v>-12538.396675252528</v>
      </c>
      <c r="K125" s="430">
        <v>-13103.355092669555</v>
      </c>
      <c r="L125" s="430">
        <v>-13690.669178181817</v>
      </c>
      <c r="M125" s="430">
        <v>-14228.341181313128</v>
      </c>
      <c r="N125" s="430">
        <v>-14809.899124444444</v>
      </c>
      <c r="O125" s="430">
        <v>-15421.991397575757</v>
      </c>
      <c r="P125" s="430">
        <f t="shared" si="8"/>
        <v>-8701</v>
      </c>
      <c r="Q125" s="430">
        <f t="shared" si="9"/>
        <v>-8701</v>
      </c>
    </row>
    <row r="126" spans="1:17" x14ac:dyDescent="0.25">
      <c r="A126" s="92" t="s">
        <v>278</v>
      </c>
      <c r="B126" s="92" t="s">
        <v>278</v>
      </c>
      <c r="C126" s="108" t="s">
        <v>51</v>
      </c>
      <c r="D126" s="430">
        <v>17869</v>
      </c>
      <c r="E126" s="430">
        <v>18830.773820000002</v>
      </c>
      <c r="F126" s="430">
        <v>19456.492228035553</v>
      </c>
      <c r="G126" s="430">
        <v>19432.994858035552</v>
      </c>
      <c r="H126" s="430">
        <v>19640.380066666668</v>
      </c>
      <c r="I126" s="430">
        <v>19546.236120000005</v>
      </c>
      <c r="J126" s="430">
        <v>19557.896506666671</v>
      </c>
      <c r="K126" s="430">
        <v>19742.122697142859</v>
      </c>
      <c r="L126" s="430">
        <v>19872.998090000001</v>
      </c>
      <c r="M126" s="430">
        <v>19981.324756666669</v>
      </c>
      <c r="N126" s="430">
        <v>20084.774504444445</v>
      </c>
      <c r="O126" s="430">
        <v>20166.47896</v>
      </c>
      <c r="P126" s="430">
        <f t="shared" si="8"/>
        <v>17869</v>
      </c>
      <c r="Q126" s="430">
        <f t="shared" si="9"/>
        <v>17869</v>
      </c>
    </row>
    <row r="127" spans="1:17" x14ac:dyDescent="0.25">
      <c r="A127" s="92" t="s">
        <v>279</v>
      </c>
      <c r="B127" s="92" t="s">
        <v>279</v>
      </c>
      <c r="C127" s="108" t="s">
        <v>50</v>
      </c>
      <c r="D127" s="430">
        <v>-5002</v>
      </c>
      <c r="E127" s="430">
        <v>-6676</v>
      </c>
      <c r="F127" s="430">
        <v>-7146.1437299999998</v>
      </c>
      <c r="G127" s="430">
        <v>-7464.5623468426411</v>
      </c>
      <c r="H127" s="430">
        <v>-7783.0119418866343</v>
      </c>
      <c r="I127" s="430">
        <v>-7989.7307802639607</v>
      </c>
      <c r="J127" s="430">
        <v>-8302.0832819746229</v>
      </c>
      <c r="K127" s="430">
        <v>-8618.7022974948068</v>
      </c>
      <c r="L127" s="430">
        <v>-8869.7211399510397</v>
      </c>
      <c r="M127" s="430">
        <v>-9231.3706299455989</v>
      </c>
      <c r="N127" s="430">
        <v>-9654.5498410512719</v>
      </c>
      <c r="O127" s="430">
        <v>-10051.31631993472</v>
      </c>
      <c r="P127" s="430">
        <f t="shared" si="8"/>
        <v>-5002</v>
      </c>
      <c r="Q127" s="430">
        <f t="shared" si="9"/>
        <v>-5002</v>
      </c>
    </row>
    <row r="128" spans="1:17" x14ac:dyDescent="0.25">
      <c r="A128" s="92" t="s">
        <v>280</v>
      </c>
      <c r="B128" s="92" t="s">
        <v>280</v>
      </c>
      <c r="C128" s="108" t="s">
        <v>52</v>
      </c>
      <c r="D128" s="430">
        <v>79</v>
      </c>
      <c r="E128" s="430">
        <v>78.8105800000003</v>
      </c>
      <c r="F128" s="430">
        <v>92.751828214866691</v>
      </c>
      <c r="G128" s="430">
        <v>90.939711548199966</v>
      </c>
      <c r="H128" s="430">
        <v>92.472096666666857</v>
      </c>
      <c r="I128" s="430">
        <v>92.141870263961209</v>
      </c>
      <c r="J128" s="430">
        <v>91.199220307954647</v>
      </c>
      <c r="K128" s="430">
        <v>91.759424637662505</v>
      </c>
      <c r="L128" s="430">
        <v>62.659029951039884</v>
      </c>
      <c r="M128" s="430">
        <v>62.716409999999996</v>
      </c>
      <c r="N128" s="430">
        <v>59.488550000000032</v>
      </c>
      <c r="O128" s="430">
        <v>59.694250000000011</v>
      </c>
      <c r="P128" s="430">
        <f t="shared" si="8"/>
        <v>79</v>
      </c>
      <c r="Q128" s="430">
        <f t="shared" si="9"/>
        <v>79</v>
      </c>
    </row>
    <row r="129" spans="1:17" s="385" customFormat="1" ht="13" x14ac:dyDescent="0.3">
      <c r="A129" s="87"/>
      <c r="B129" s="92"/>
      <c r="C129" s="109" t="s">
        <v>281</v>
      </c>
      <c r="D129" s="378"/>
      <c r="E129" s="378"/>
      <c r="F129" s="378"/>
      <c r="G129" s="378"/>
      <c r="H129" s="378"/>
      <c r="I129" s="378"/>
      <c r="J129" s="378"/>
      <c r="K129" s="378"/>
      <c r="L129" s="378"/>
      <c r="M129" s="378"/>
      <c r="N129" s="378"/>
      <c r="O129" s="378"/>
      <c r="P129" s="430">
        <f t="shared" si="8"/>
        <v>0</v>
      </c>
      <c r="Q129" s="430">
        <f t="shared" si="9"/>
        <v>0</v>
      </c>
    </row>
    <row r="130" spans="1:17" ht="13" x14ac:dyDescent="0.3">
      <c r="A130" s="87"/>
      <c r="B130" s="92"/>
      <c r="C130" s="110" t="s">
        <v>282</v>
      </c>
      <c r="D130" s="341"/>
      <c r="E130" s="341"/>
      <c r="F130" s="341"/>
      <c r="G130" s="341"/>
      <c r="H130" s="341"/>
      <c r="I130" s="341"/>
      <c r="J130" s="341"/>
      <c r="K130" s="341"/>
      <c r="L130" s="341"/>
      <c r="M130" s="341"/>
      <c r="N130" s="341"/>
      <c r="O130" s="341"/>
      <c r="P130" s="430">
        <f t="shared" si="8"/>
        <v>0</v>
      </c>
      <c r="Q130" s="430">
        <f t="shared" si="9"/>
        <v>0</v>
      </c>
    </row>
    <row r="131" spans="1:17" x14ac:dyDescent="0.25">
      <c r="A131" s="92" t="s">
        <v>283</v>
      </c>
      <c r="B131" s="92" t="s">
        <v>283</v>
      </c>
      <c r="C131" s="105" t="s">
        <v>456</v>
      </c>
      <c r="D131" s="430">
        <v>0</v>
      </c>
      <c r="E131" s="430">
        <v>-5601</v>
      </c>
      <c r="F131" s="430">
        <v>-6209.5</v>
      </c>
      <c r="G131" s="430">
        <v>-5910.0652698229069</v>
      </c>
      <c r="H131" s="430">
        <v>-6220.666666666667</v>
      </c>
      <c r="I131" s="430">
        <v>-5949</v>
      </c>
      <c r="J131" s="430">
        <v>-5933</v>
      </c>
      <c r="K131" s="430">
        <v>-5933</v>
      </c>
      <c r="L131" s="430">
        <v>-5803</v>
      </c>
      <c r="M131" s="430">
        <v>-5703</v>
      </c>
      <c r="N131" s="430">
        <v>-5703</v>
      </c>
      <c r="O131" s="430">
        <v>-5804</v>
      </c>
      <c r="P131" s="430">
        <f t="shared" si="8"/>
        <v>0</v>
      </c>
      <c r="Q131" s="430">
        <f t="shared" si="9"/>
        <v>0</v>
      </c>
    </row>
    <row r="132" spans="1:17" x14ac:dyDescent="0.25">
      <c r="A132" s="92" t="s">
        <v>285</v>
      </c>
      <c r="B132" s="92" t="s">
        <v>285</v>
      </c>
      <c r="C132" s="105" t="s">
        <v>286</v>
      </c>
      <c r="D132" s="430">
        <v>-6444</v>
      </c>
      <c r="E132" s="430">
        <v>-1158.5621000000001</v>
      </c>
      <c r="F132" s="430">
        <v>-1237.46109</v>
      </c>
      <c r="G132" s="430">
        <v>-1290.9641633333333</v>
      </c>
      <c r="H132" s="430">
        <v>-1389.0444299999999</v>
      </c>
      <c r="I132" s="430">
        <v>-1376.8790200000001</v>
      </c>
      <c r="J132" s="430">
        <v>-1420.2437533333332</v>
      </c>
      <c r="K132" s="430">
        <v>-1467.6894285714286</v>
      </c>
      <c r="L132" s="430">
        <v>-1502.8914800000002</v>
      </c>
      <c r="M132" s="430">
        <v>-1491.3369022222223</v>
      </c>
      <c r="N132" s="430">
        <v>-1447.009698888889</v>
      </c>
      <c r="O132" s="430">
        <v>-1567.87075</v>
      </c>
      <c r="P132" s="430">
        <f t="shared" si="8"/>
        <v>-6444</v>
      </c>
      <c r="Q132" s="430">
        <f t="shared" si="9"/>
        <v>-6444</v>
      </c>
    </row>
    <row r="133" spans="1:17" x14ac:dyDescent="0.25">
      <c r="A133" s="92" t="s">
        <v>287</v>
      </c>
      <c r="B133" s="92" t="s">
        <v>287</v>
      </c>
      <c r="C133" s="109" t="s">
        <v>54</v>
      </c>
      <c r="D133" s="430">
        <v>73695.399999999994</v>
      </c>
      <c r="E133" s="430">
        <v>74116.898489999992</v>
      </c>
      <c r="F133" s="430">
        <v>72808.718209999963</v>
      </c>
      <c r="G133" s="430">
        <v>73945.770193333301</v>
      </c>
      <c r="H133" s="430">
        <v>73894.978796666648</v>
      </c>
      <c r="I133" s="430">
        <v>72634.447749999992</v>
      </c>
      <c r="J133" s="430">
        <v>72811.106046666653</v>
      </c>
      <c r="K133" s="430">
        <v>73153.182860000001</v>
      </c>
      <c r="L133" s="430">
        <v>72814.419189999971</v>
      </c>
      <c r="M133" s="430">
        <v>74429.342153333331</v>
      </c>
      <c r="N133" s="430">
        <v>74816.373566666676</v>
      </c>
      <c r="O133" s="430">
        <v>75376.014729999995</v>
      </c>
      <c r="P133" s="430">
        <f t="shared" si="8"/>
        <v>73695.399999999994</v>
      </c>
      <c r="Q133" s="430">
        <f t="shared" si="9"/>
        <v>73695.399999999994</v>
      </c>
    </row>
    <row r="134" spans="1:17" x14ac:dyDescent="0.25">
      <c r="A134" s="87"/>
      <c r="B134" s="92"/>
      <c r="C134" s="109" t="s">
        <v>288</v>
      </c>
      <c r="D134" s="433"/>
      <c r="E134" s="433"/>
      <c r="F134" s="433"/>
      <c r="G134" s="433"/>
      <c r="H134" s="433"/>
      <c r="I134" s="433"/>
      <c r="J134" s="433"/>
      <c r="K134" s="433"/>
      <c r="L134" s="433"/>
      <c r="M134" s="433"/>
      <c r="N134" s="433"/>
      <c r="O134" s="433"/>
      <c r="P134" s="430">
        <f t="shared" si="8"/>
        <v>0</v>
      </c>
      <c r="Q134" s="430">
        <f t="shared" si="9"/>
        <v>0</v>
      </c>
    </row>
    <row r="135" spans="1:17" x14ac:dyDescent="0.25">
      <c r="A135" s="92" t="s">
        <v>289</v>
      </c>
      <c r="B135" s="92" t="s">
        <v>289</v>
      </c>
      <c r="C135" s="108" t="s">
        <v>55</v>
      </c>
      <c r="D135" s="430">
        <v>-4100</v>
      </c>
      <c r="E135" s="430">
        <v>-4100</v>
      </c>
      <c r="F135" s="430">
        <v>-4100</v>
      </c>
      <c r="G135" s="430">
        <v>-4100</v>
      </c>
      <c r="H135" s="430">
        <v>-4100</v>
      </c>
      <c r="I135" s="430">
        <v>-4100</v>
      </c>
      <c r="J135" s="430">
        <v>-4100</v>
      </c>
      <c r="K135" s="430">
        <v>-4100</v>
      </c>
      <c r="L135" s="430">
        <v>-4100</v>
      </c>
      <c r="M135" s="430">
        <v>-4100</v>
      </c>
      <c r="N135" s="430">
        <v>-4100</v>
      </c>
      <c r="O135" s="430">
        <v>-4100</v>
      </c>
      <c r="P135" s="430">
        <f t="shared" si="8"/>
        <v>-4100</v>
      </c>
      <c r="Q135" s="430">
        <f t="shared" si="9"/>
        <v>-4100</v>
      </c>
    </row>
    <row r="136" spans="1:17" x14ac:dyDescent="0.25">
      <c r="A136" s="92" t="s">
        <v>290</v>
      </c>
      <c r="B136" s="92" t="s">
        <v>290</v>
      </c>
      <c r="C136" s="108" t="s">
        <v>56</v>
      </c>
      <c r="D136" s="430">
        <v>-187</v>
      </c>
      <c r="E136" s="430">
        <v>-187.08656999999999</v>
      </c>
      <c r="F136" s="430">
        <v>-187.08656999999999</v>
      </c>
      <c r="G136" s="430">
        <v>-187.08656999999999</v>
      </c>
      <c r="H136" s="430">
        <v>-187.08656999999999</v>
      </c>
      <c r="I136" s="430">
        <v>-187.08656999999999</v>
      </c>
      <c r="J136" s="430">
        <v>-187.08656999999999</v>
      </c>
      <c r="K136" s="430">
        <v>-281.92856999999998</v>
      </c>
      <c r="L136" s="430">
        <v>-281.92856999999998</v>
      </c>
      <c r="M136" s="430">
        <v>-281.92856999999998</v>
      </c>
      <c r="N136" s="430">
        <v>-281.92856999999998</v>
      </c>
      <c r="O136" s="430">
        <v>-281.92856999999998</v>
      </c>
      <c r="P136" s="430">
        <f t="shared" si="8"/>
        <v>-187</v>
      </c>
      <c r="Q136" s="430">
        <f t="shared" si="9"/>
        <v>-187</v>
      </c>
    </row>
    <row r="137" spans="1:17" x14ac:dyDescent="0.25">
      <c r="A137" s="92" t="s">
        <v>291</v>
      </c>
      <c r="B137" s="92" t="s">
        <v>291</v>
      </c>
      <c r="C137" s="108" t="s">
        <v>57</v>
      </c>
      <c r="D137" s="430">
        <v>-145346</v>
      </c>
      <c r="E137" s="430">
        <v>-145346.44427000001</v>
      </c>
      <c r="F137" s="430">
        <v>-145346.44427000001</v>
      </c>
      <c r="G137" s="430">
        <v>-145346.44427000001</v>
      </c>
      <c r="H137" s="430">
        <v>-145346.44427000001</v>
      </c>
      <c r="I137" s="430">
        <v>-145346.44427000001</v>
      </c>
      <c r="J137" s="430">
        <v>-145346.44427000001</v>
      </c>
      <c r="K137" s="430">
        <v>-145346.44427000001</v>
      </c>
      <c r="L137" s="430">
        <v>-145346.44427000001</v>
      </c>
      <c r="M137" s="430">
        <v>-145346.44427000001</v>
      </c>
      <c r="N137" s="430">
        <v>-145346.44427000001</v>
      </c>
      <c r="O137" s="430">
        <v>-145346.44427000001</v>
      </c>
      <c r="P137" s="430">
        <f t="shared" si="8"/>
        <v>-145346</v>
      </c>
      <c r="Q137" s="430">
        <f t="shared" si="9"/>
        <v>-145346</v>
      </c>
    </row>
    <row r="138" spans="1:17" x14ac:dyDescent="0.25">
      <c r="A138" s="92" t="s">
        <v>292</v>
      </c>
      <c r="B138" s="92" t="s">
        <v>292</v>
      </c>
      <c r="C138" s="108" t="s">
        <v>58</v>
      </c>
      <c r="D138" s="430">
        <v>0</v>
      </c>
      <c r="E138" s="430">
        <v>-3554.6447899999998</v>
      </c>
      <c r="F138" s="430">
        <v>-3554.6447899999998</v>
      </c>
      <c r="G138" s="430">
        <v>-3554.6447899999998</v>
      </c>
      <c r="H138" s="430">
        <v>-3554.6447899999998</v>
      </c>
      <c r="I138" s="430">
        <v>-3554.6447899999998</v>
      </c>
      <c r="J138" s="430">
        <v>-3554.6447899999998</v>
      </c>
      <c r="K138" s="430">
        <v>-5356.6517899999999</v>
      </c>
      <c r="L138" s="430">
        <v>-5356.6517899999999</v>
      </c>
      <c r="M138" s="430">
        <v>-5356.6517899999999</v>
      </c>
      <c r="N138" s="430">
        <v>-5356.6517899999999</v>
      </c>
      <c r="O138" s="430">
        <v>-5356.6517899999999</v>
      </c>
      <c r="P138" s="430">
        <f t="shared" si="8"/>
        <v>0</v>
      </c>
      <c r="Q138" s="430">
        <f t="shared" si="9"/>
        <v>0</v>
      </c>
    </row>
    <row r="139" spans="1:17" x14ac:dyDescent="0.25">
      <c r="A139" s="92" t="s">
        <v>293</v>
      </c>
      <c r="B139" s="92" t="s">
        <v>293</v>
      </c>
      <c r="C139" s="108" t="s">
        <v>59</v>
      </c>
      <c r="D139" s="430">
        <v>-5851</v>
      </c>
      <c r="E139" s="430">
        <v>-2299</v>
      </c>
      <c r="F139" s="430">
        <v>-2299</v>
      </c>
      <c r="G139" s="430">
        <v>-2299</v>
      </c>
      <c r="H139" s="430">
        <v>-2299</v>
      </c>
      <c r="I139" s="430">
        <v>-2299</v>
      </c>
      <c r="J139" s="430">
        <v>-2299</v>
      </c>
      <c r="K139" s="430">
        <v>-402</v>
      </c>
      <c r="L139" s="430">
        <v>-402</v>
      </c>
      <c r="M139" s="430">
        <v>-402</v>
      </c>
      <c r="N139" s="430">
        <v>-402</v>
      </c>
      <c r="O139" s="430">
        <v>-402</v>
      </c>
      <c r="P139" s="430">
        <f t="shared" si="8"/>
        <v>-5851</v>
      </c>
      <c r="Q139" s="430">
        <f t="shared" si="9"/>
        <v>-5851</v>
      </c>
    </row>
    <row r="140" spans="1:17" x14ac:dyDescent="0.25">
      <c r="A140" s="92" t="s">
        <v>294</v>
      </c>
      <c r="B140" s="92" t="s">
        <v>294</v>
      </c>
      <c r="C140" s="108" t="s">
        <v>60</v>
      </c>
      <c r="D140" s="430">
        <v>0</v>
      </c>
      <c r="E140" s="430">
        <v>0.12497000000030312</v>
      </c>
      <c r="F140" s="430">
        <v>-0.19889516327771162</v>
      </c>
      <c r="G140" s="430">
        <v>0.10703083898630439</v>
      </c>
      <c r="H140" s="430">
        <v>0.36158964368195257</v>
      </c>
      <c r="I140" s="430">
        <v>0.15186000000016975</v>
      </c>
      <c r="J140" s="430">
        <v>0.15186000000016975</v>
      </c>
      <c r="K140" s="430">
        <v>8.5999999998875865E-4</v>
      </c>
      <c r="L140" s="430">
        <v>8.5999999998875865E-4</v>
      </c>
      <c r="M140" s="430">
        <v>8.5999999998875865E-4</v>
      </c>
      <c r="N140" s="430">
        <v>8.5999999998875865E-4</v>
      </c>
      <c r="O140" s="430">
        <v>8.5999999998875865E-4</v>
      </c>
      <c r="P140" s="430">
        <f t="shared" si="8"/>
        <v>0</v>
      </c>
      <c r="Q140" s="430">
        <f t="shared" si="9"/>
        <v>0</v>
      </c>
    </row>
    <row r="141" spans="1:17" x14ac:dyDescent="0.25">
      <c r="A141" s="92" t="s">
        <v>295</v>
      </c>
      <c r="B141" s="92" t="s">
        <v>295</v>
      </c>
      <c r="C141" s="105" t="s">
        <v>61</v>
      </c>
      <c r="D141" s="430">
        <v>-264</v>
      </c>
      <c r="E141" s="430">
        <v>0</v>
      </c>
      <c r="F141" s="430">
        <v>-246.1505034421852</v>
      </c>
      <c r="G141" s="430">
        <v>-262.1892804550331</v>
      </c>
      <c r="H141" s="430">
        <v>-484.94720042659338</v>
      </c>
      <c r="I141" s="430">
        <v>-458.88600000000002</v>
      </c>
      <c r="J141" s="430">
        <v>-413.69633333333331</v>
      </c>
      <c r="K141" s="430">
        <v>-422.86349999999993</v>
      </c>
      <c r="L141" s="430">
        <v>-444.12599999999998</v>
      </c>
      <c r="M141" s="430">
        <v>-383.97044444444464</v>
      </c>
      <c r="N141" s="430">
        <v>-400.57755555555548</v>
      </c>
      <c r="O141" s="430">
        <v>-414.75600000000003</v>
      </c>
      <c r="P141" s="430">
        <f t="shared" si="8"/>
        <v>-264</v>
      </c>
      <c r="Q141" s="430">
        <f t="shared" si="9"/>
        <v>-264</v>
      </c>
    </row>
    <row r="142" spans="1:17" x14ac:dyDescent="0.25">
      <c r="D142" s="430"/>
      <c r="E142" s="430"/>
      <c r="F142" s="430"/>
      <c r="G142" s="430"/>
      <c r="H142" s="430"/>
      <c r="I142" s="430"/>
      <c r="J142" s="430"/>
      <c r="K142" s="430"/>
      <c r="L142" s="430"/>
      <c r="M142" s="430"/>
      <c r="N142" s="430"/>
      <c r="O142" s="430"/>
    </row>
    <row r="143" spans="1:17" x14ac:dyDescent="0.25">
      <c r="A143" s="92" t="s">
        <v>294</v>
      </c>
      <c r="C143" s="369" t="s">
        <v>418</v>
      </c>
      <c r="D143" s="430">
        <f>SUM(D4:D107)</f>
        <v>171.60000000000025</v>
      </c>
      <c r="E143" s="430">
        <f t="shared" ref="E143:O143" si="10">SUM(E4:E107)</f>
        <v>194.35742000000235</v>
      </c>
      <c r="F143" s="430">
        <f t="shared" si="10"/>
        <v>-301.9954251632729</v>
      </c>
      <c r="G143" s="430">
        <f t="shared" si="10"/>
        <v>-527.39117735325112</v>
      </c>
      <c r="H143" s="430">
        <f t="shared" si="10"/>
        <v>-338.60720447298178</v>
      </c>
      <c r="I143" s="430">
        <f t="shared" si="10"/>
        <v>-557.7647139236766</v>
      </c>
      <c r="J143" s="430">
        <f t="shared" si="10"/>
        <v>-783.92623975355673</v>
      </c>
      <c r="K143" s="430">
        <f t="shared" si="10"/>
        <v>-770.90516201726575</v>
      </c>
      <c r="L143" s="430">
        <f t="shared" si="10"/>
        <v>-658.5438108855144</v>
      </c>
      <c r="M143" s="430">
        <f t="shared" si="10"/>
        <v>-462.51439552719637</v>
      </c>
      <c r="N143" s="430">
        <f t="shared" si="10"/>
        <v>192.20211432453317</v>
      </c>
      <c r="O143" s="430">
        <f t="shared" si="10"/>
        <v>-358.21811751263272</v>
      </c>
    </row>
    <row r="144" spans="1:17" x14ac:dyDescent="0.25">
      <c r="C144" s="369" t="s">
        <v>422</v>
      </c>
      <c r="D144" s="430">
        <f>SUM(D108:D142)</f>
        <v>-171.60000000000582</v>
      </c>
      <c r="E144" s="430">
        <f t="shared" ref="E144:O144" si="11">SUM(E108:E142)</f>
        <v>-193.72995011230341</v>
      </c>
      <c r="F144" s="430">
        <f t="shared" si="11"/>
        <v>301.97848346604889</v>
      </c>
      <c r="G144" s="430">
        <f t="shared" si="11"/>
        <v>527.04587064571285</v>
      </c>
      <c r="H144" s="430">
        <f t="shared" si="11"/>
        <v>338.28630853198086</v>
      </c>
      <c r="I144" s="430">
        <f t="shared" si="11"/>
        <v>557.76565489781865</v>
      </c>
      <c r="J144" s="430">
        <f t="shared" si="11"/>
        <v>783.96662692737368</v>
      </c>
      <c r="K144" s="430">
        <f t="shared" si="11"/>
        <v>770.85635181418502</v>
      </c>
      <c r="L144" s="430">
        <f t="shared" si="11"/>
        <v>658.49708598656457</v>
      </c>
      <c r="M144" s="430">
        <f t="shared" si="11"/>
        <v>462.69622644841218</v>
      </c>
      <c r="N144" s="430">
        <f t="shared" si="11"/>
        <v>-192.21394980546756</v>
      </c>
      <c r="O144" s="430">
        <f t="shared" si="11"/>
        <v>358.44640674066358</v>
      </c>
    </row>
    <row r="145" spans="3:15" ht="13" x14ac:dyDescent="0.3">
      <c r="C145" s="369" t="s">
        <v>342</v>
      </c>
      <c r="D145" s="341">
        <f>SUM(D143:D144)</f>
        <v>-5.5706550483591855E-12</v>
      </c>
      <c r="E145" s="341">
        <f>SUM(E143:E144)</f>
        <v>0.62746988769893619</v>
      </c>
      <c r="F145" s="341">
        <f>SUM(F143:F144)</f>
        <v>-1.6941697224012842E-2</v>
      </c>
      <c r="G145" s="341">
        <f>SUM(G143:G144)</f>
        <v>-0.34530670753827053</v>
      </c>
      <c r="H145" s="341">
        <f>SUM(H143:H144)</f>
        <v>-0.3208959410009129</v>
      </c>
      <c r="I145" s="341">
        <f t="shared" ref="I145:O145" si="12">SUM(I143:I144)</f>
        <v>9.4097414205407404E-4</v>
      </c>
      <c r="J145" s="341">
        <f t="shared" si="12"/>
        <v>4.0387173816952782E-2</v>
      </c>
      <c r="K145" s="341">
        <f t="shared" si="12"/>
        <v>-4.8810203080734027E-2</v>
      </c>
      <c r="L145" s="341">
        <f t="shared" si="12"/>
        <v>-4.6724898949833005E-2</v>
      </c>
      <c r="M145" s="341">
        <f t="shared" si="12"/>
        <v>0.18183092121580557</v>
      </c>
      <c r="N145" s="341">
        <f t="shared" si="12"/>
        <v>-1.1835480934394127E-2</v>
      </c>
      <c r="O145" s="341">
        <f t="shared" si="12"/>
        <v>0.22828922803086016</v>
      </c>
    </row>
    <row r="146" spans="3:15" x14ac:dyDescent="0.25">
      <c r="D146" s="433"/>
      <c r="E146" s="433"/>
      <c r="F146" s="433"/>
      <c r="G146" s="433"/>
      <c r="H146" s="433"/>
      <c r="I146" s="433"/>
      <c r="J146" s="433"/>
      <c r="K146" s="433"/>
      <c r="L146" s="433"/>
      <c r="M146" s="433"/>
      <c r="N146" s="433"/>
      <c r="O146" s="363"/>
    </row>
    <row r="147" spans="3:15" x14ac:dyDescent="0.25">
      <c r="D147" s="433"/>
      <c r="E147" s="433"/>
      <c r="F147" s="433"/>
      <c r="G147" s="433"/>
      <c r="H147" s="433"/>
      <c r="I147" s="433"/>
      <c r="J147" s="433"/>
      <c r="K147" s="433"/>
      <c r="L147" s="433"/>
      <c r="M147" s="433"/>
      <c r="N147" s="433"/>
      <c r="O147" s="363"/>
    </row>
    <row r="148" spans="3:15" x14ac:dyDescent="0.25">
      <c r="D148" s="433"/>
      <c r="E148" s="433"/>
      <c r="F148" s="433"/>
      <c r="G148" s="433"/>
      <c r="H148" s="433"/>
      <c r="I148" s="433"/>
      <c r="J148" s="433"/>
      <c r="K148" s="433"/>
      <c r="L148" s="433"/>
      <c r="M148" s="433"/>
      <c r="N148" s="433"/>
      <c r="O148" s="363"/>
    </row>
    <row r="149" spans="3:15" x14ac:dyDescent="0.25">
      <c r="D149" s="433"/>
      <c r="E149" s="433"/>
      <c r="F149" s="433"/>
      <c r="G149" s="433"/>
      <c r="H149" s="433"/>
      <c r="I149" s="433"/>
      <c r="J149" s="433"/>
      <c r="K149" s="433"/>
      <c r="L149" s="433"/>
      <c r="M149" s="433"/>
      <c r="N149" s="433"/>
      <c r="O149" s="363"/>
    </row>
    <row r="150" spans="3:15" x14ac:dyDescent="0.25">
      <c r="D150" s="433"/>
      <c r="E150" s="433"/>
      <c r="F150" s="433"/>
      <c r="G150" s="433"/>
      <c r="H150" s="433"/>
      <c r="I150" s="433"/>
      <c r="J150" s="433"/>
      <c r="K150" s="433"/>
      <c r="L150" s="433"/>
      <c r="M150" s="433"/>
      <c r="N150" s="433"/>
      <c r="O150" s="363"/>
    </row>
    <row r="151" spans="3:15" ht="13" x14ac:dyDescent="0.3">
      <c r="D151" s="341"/>
      <c r="E151" s="341"/>
      <c r="F151" s="341"/>
      <c r="G151" s="341"/>
      <c r="H151" s="341"/>
      <c r="I151" s="341"/>
      <c r="J151" s="341"/>
      <c r="K151" s="341"/>
      <c r="L151" s="341"/>
      <c r="M151" s="341"/>
      <c r="N151" s="341"/>
      <c r="O151" s="362"/>
    </row>
    <row r="152" spans="3:15" x14ac:dyDescent="0.25">
      <c r="D152" s="433"/>
      <c r="E152" s="433"/>
      <c r="F152" s="433"/>
      <c r="G152" s="433"/>
      <c r="H152" s="433"/>
      <c r="I152" s="433"/>
      <c r="J152" s="433"/>
      <c r="K152" s="433"/>
      <c r="L152" s="433"/>
      <c r="M152" s="433"/>
      <c r="N152" s="433"/>
      <c r="O152" s="363"/>
    </row>
    <row r="153" spans="3:15" x14ac:dyDescent="0.25">
      <c r="D153" s="433"/>
      <c r="E153" s="433"/>
      <c r="F153" s="433"/>
      <c r="G153" s="433"/>
      <c r="H153" s="433"/>
      <c r="I153" s="433"/>
      <c r="J153" s="433"/>
      <c r="K153" s="433"/>
      <c r="L153" s="433"/>
      <c r="M153" s="433"/>
      <c r="N153" s="433"/>
      <c r="O153" s="363"/>
    </row>
    <row r="154" spans="3:15" x14ac:dyDescent="0.25">
      <c r="D154" s="433"/>
      <c r="E154" s="433"/>
      <c r="F154" s="433"/>
      <c r="G154" s="433"/>
      <c r="H154" s="433"/>
      <c r="I154" s="433"/>
      <c r="J154" s="433"/>
      <c r="K154" s="433"/>
      <c r="L154" s="433"/>
      <c r="M154" s="433"/>
      <c r="N154" s="433"/>
      <c r="O154" s="363"/>
    </row>
    <row r="155" spans="3:15" x14ac:dyDescent="0.25">
      <c r="D155" s="433"/>
      <c r="E155" s="433"/>
      <c r="F155" s="433"/>
      <c r="G155" s="433"/>
      <c r="H155" s="433"/>
      <c r="I155" s="433"/>
      <c r="J155" s="433"/>
      <c r="K155" s="433"/>
      <c r="L155" s="433"/>
      <c r="M155" s="433"/>
      <c r="N155" s="433"/>
      <c r="O155" s="363"/>
    </row>
    <row r="156" spans="3:15" x14ac:dyDescent="0.25">
      <c r="D156" s="433"/>
      <c r="E156" s="433"/>
      <c r="F156" s="433"/>
      <c r="G156" s="433"/>
      <c r="H156" s="433"/>
      <c r="I156" s="433"/>
      <c r="J156" s="433"/>
      <c r="K156" s="433"/>
      <c r="L156" s="433"/>
      <c r="M156" s="433"/>
      <c r="N156" s="433"/>
      <c r="O156" s="363"/>
    </row>
    <row r="157" spans="3:15" x14ac:dyDescent="0.25">
      <c r="D157" s="433"/>
      <c r="E157" s="433"/>
      <c r="F157" s="433"/>
      <c r="G157" s="433"/>
      <c r="H157" s="433"/>
      <c r="I157" s="433"/>
      <c r="J157" s="433"/>
      <c r="K157" s="433"/>
      <c r="L157" s="433"/>
      <c r="M157" s="433"/>
      <c r="N157" s="433"/>
      <c r="O157" s="363"/>
    </row>
    <row r="158" spans="3:15" x14ac:dyDescent="0.25">
      <c r="D158" s="433"/>
      <c r="E158" s="433"/>
      <c r="F158" s="433"/>
      <c r="G158" s="433"/>
      <c r="H158" s="433"/>
      <c r="I158" s="433"/>
      <c r="J158" s="433"/>
      <c r="K158" s="433"/>
      <c r="L158" s="433"/>
      <c r="M158" s="433"/>
      <c r="N158" s="433"/>
      <c r="O158" s="363"/>
    </row>
    <row r="159" spans="3:15" x14ac:dyDescent="0.25">
      <c r="D159" s="433"/>
      <c r="E159" s="433"/>
      <c r="F159" s="433"/>
      <c r="G159" s="433"/>
      <c r="H159" s="433"/>
      <c r="I159" s="433"/>
      <c r="J159" s="433"/>
      <c r="K159" s="433"/>
      <c r="L159" s="433"/>
      <c r="M159" s="433"/>
      <c r="N159" s="433"/>
      <c r="O159" s="363"/>
    </row>
    <row r="160" spans="3:15" x14ac:dyDescent="0.25">
      <c r="D160" s="433"/>
      <c r="E160" s="433"/>
      <c r="F160" s="433"/>
      <c r="G160" s="433"/>
      <c r="H160" s="433"/>
      <c r="I160" s="433"/>
      <c r="J160" s="433"/>
      <c r="K160" s="433"/>
      <c r="L160" s="433"/>
      <c r="M160" s="433"/>
      <c r="N160" s="433"/>
      <c r="O160" s="363"/>
    </row>
    <row r="161" spans="4:15" x14ac:dyDescent="0.25">
      <c r="D161" s="433"/>
      <c r="E161" s="433"/>
      <c r="F161" s="433"/>
      <c r="G161" s="433"/>
      <c r="H161" s="433"/>
      <c r="I161" s="433"/>
      <c r="J161" s="433"/>
      <c r="K161" s="433"/>
      <c r="L161" s="433"/>
      <c r="M161" s="433"/>
      <c r="N161" s="433"/>
      <c r="O161" s="364"/>
    </row>
    <row r="162" spans="4:15" x14ac:dyDescent="0.25">
      <c r="D162" s="433"/>
      <c r="E162" s="433"/>
      <c r="F162" s="433"/>
      <c r="G162" s="433"/>
      <c r="H162" s="433"/>
      <c r="O162" s="365"/>
    </row>
    <row r="163" spans="4:15" x14ac:dyDescent="0.25">
      <c r="D163" s="433"/>
      <c r="E163" s="433"/>
      <c r="F163" s="433"/>
      <c r="G163" s="433"/>
      <c r="H163" s="433"/>
      <c r="I163" s="433"/>
      <c r="J163" s="433"/>
      <c r="K163" s="433"/>
      <c r="L163" s="433"/>
      <c r="M163" s="433"/>
      <c r="N163" s="433"/>
      <c r="O163" s="364"/>
    </row>
    <row r="164" spans="4:15" ht="13" x14ac:dyDescent="0.3">
      <c r="D164" s="342"/>
      <c r="E164" s="342"/>
      <c r="F164" s="342"/>
      <c r="G164" s="342"/>
      <c r="H164" s="342"/>
      <c r="I164" s="342"/>
      <c r="J164" s="342"/>
      <c r="K164" s="342"/>
      <c r="L164" s="342"/>
      <c r="M164" s="342"/>
      <c r="N164" s="342"/>
      <c r="O164" s="366"/>
    </row>
    <row r="165" spans="4:15" x14ac:dyDescent="0.25">
      <c r="I165" s="433"/>
      <c r="J165" s="433"/>
      <c r="K165" s="433"/>
      <c r="L165" s="433"/>
      <c r="M165" s="433"/>
      <c r="N165" s="433"/>
      <c r="O165" s="364"/>
    </row>
    <row r="166" spans="4:15" x14ac:dyDescent="0.25">
      <c r="D166" s="434"/>
      <c r="E166" s="434"/>
      <c r="F166" s="434"/>
      <c r="G166" s="434"/>
      <c r="H166" s="434"/>
      <c r="I166" s="434"/>
      <c r="J166" s="434"/>
      <c r="K166" s="434"/>
      <c r="L166" s="434"/>
      <c r="M166" s="434"/>
      <c r="N166" s="434"/>
      <c r="O166" s="367"/>
    </row>
  </sheetData>
  <phoneticPr fontId="24" type="noConversion"/>
  <pageMargins left="0.75" right="0.75" top="0.3" bottom="0.28999999999999998" header="0.18" footer="0.17"/>
  <pageSetup paperSize="9" scale="75" orientation="portrait" r:id="rId1"/>
  <headerFooter alignWithMargins="0">
    <oddFooter>&amp;LOp.Hop Inc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showGridLines="0" zoomScale="75" zoomScaleNormal="75" workbookViewId="0"/>
  </sheetViews>
  <sheetFormatPr defaultRowHeight="12.5" outlineLevelCol="1" x14ac:dyDescent="0.25"/>
  <cols>
    <col min="1" max="1" width="5.54296875" customWidth="1" outlineLevel="1"/>
    <col min="2" max="2" width="6.453125" customWidth="1" outlineLevel="1"/>
    <col min="3" max="3" width="52.54296875" bestFit="1" customWidth="1"/>
    <col min="4" max="4" width="1" customWidth="1"/>
    <col min="5" max="5" width="10.453125" style="171" bestFit="1" customWidth="1" outlineLevel="1"/>
    <col min="6" max="6" width="9.453125" style="191" bestFit="1" customWidth="1" outlineLevel="1"/>
    <col min="7" max="7" width="10.1796875" bestFit="1" customWidth="1" outlineLevel="1"/>
    <col min="8" max="8" width="9.453125" style="191" bestFit="1" customWidth="1" outlineLevel="1"/>
    <col min="9" max="9" width="8.453125" style="171" bestFit="1" customWidth="1" outlineLevel="1"/>
    <col min="10" max="10" width="10.54296875" style="191" customWidth="1" outlineLevel="1"/>
    <col min="11" max="11" width="0.81640625" customWidth="1"/>
    <col min="12" max="12" width="10.1796875" style="171" bestFit="1" customWidth="1"/>
    <col min="13" max="13" width="9.26953125" style="199" customWidth="1"/>
    <col min="14" max="14" width="9.81640625" style="171" customWidth="1"/>
    <col min="15" max="15" width="8.1796875" style="191" customWidth="1"/>
    <col min="16" max="16" width="11.1796875" style="171" bestFit="1" customWidth="1"/>
    <col min="17" max="17" width="11.7265625" style="191" bestFit="1" customWidth="1"/>
    <col min="18" max="18" width="8" customWidth="1" outlineLevel="1"/>
    <col min="19" max="19" width="6.1796875" customWidth="1" outlineLevel="1"/>
    <col min="20" max="20" width="6.1796875" customWidth="1"/>
    <col min="21" max="21" width="6.1796875" customWidth="1" outlineLevel="1"/>
  </cols>
  <sheetData>
    <row r="1" spans="1:17" ht="13" x14ac:dyDescent="0.3">
      <c r="C1" s="8" t="str">
        <f>Cov!C11</f>
        <v>Op.Hop Inc</v>
      </c>
    </row>
    <row r="2" spans="1:17" ht="13" x14ac:dyDescent="0.3">
      <c r="C2" s="9" t="str">
        <f>Month</f>
        <v>January 2025</v>
      </c>
    </row>
    <row r="3" spans="1:17" ht="13" x14ac:dyDescent="0.3">
      <c r="C3" s="8" t="s">
        <v>17</v>
      </c>
    </row>
    <row r="5" spans="1:17" ht="14" x14ac:dyDescent="0.3">
      <c r="C5" s="202" t="s">
        <v>14</v>
      </c>
      <c r="D5" s="203"/>
      <c r="E5" s="204"/>
      <c r="F5" s="205"/>
      <c r="G5" s="203"/>
      <c r="H5" s="205"/>
      <c r="I5" s="204"/>
      <c r="J5" s="205"/>
      <c r="K5" s="203"/>
      <c r="L5" s="204"/>
      <c r="M5" s="206"/>
      <c r="N5" s="204"/>
      <c r="O5" s="205"/>
      <c r="P5" s="204"/>
      <c r="Q5" s="205"/>
    </row>
    <row r="6" spans="1:17" ht="15.5" x14ac:dyDescent="0.35">
      <c r="C6" s="207" t="s">
        <v>16</v>
      </c>
      <c r="D6" s="203"/>
      <c r="E6" s="231"/>
      <c r="F6" s="232"/>
      <c r="G6" s="204"/>
      <c r="H6" s="232"/>
      <c r="I6" s="204"/>
      <c r="J6" s="232"/>
      <c r="K6" s="203"/>
      <c r="L6" s="204"/>
      <c r="M6" s="232"/>
      <c r="N6" s="204"/>
      <c r="O6" s="232"/>
      <c r="P6" s="204"/>
      <c r="Q6" s="232"/>
    </row>
    <row r="7" spans="1:17" ht="55.5" customHeight="1" thickBot="1" x14ac:dyDescent="0.3">
      <c r="E7" s="114"/>
      <c r="F7" s="213"/>
      <c r="G7" s="171"/>
      <c r="H7" s="213"/>
      <c r="J7" s="213"/>
      <c r="M7" s="213"/>
      <c r="O7" s="213"/>
      <c r="Q7" s="213"/>
    </row>
    <row r="8" spans="1:17" ht="13.5" thickBot="1" x14ac:dyDescent="0.35">
      <c r="C8" s="84"/>
      <c r="E8" s="209" t="str">
        <f>UPPER(Cov!$D$20)</f>
        <v>JANUARY 2025</v>
      </c>
      <c r="F8" s="75"/>
      <c r="G8" s="173"/>
      <c r="H8" s="75"/>
      <c r="I8" s="173"/>
      <c r="J8" s="76"/>
      <c r="L8" s="177" t="str">
        <f>"YTD "&amp;UPPER(Cov!$D$20)</f>
        <v>YTD JANUARY 2025</v>
      </c>
      <c r="M8" s="75"/>
      <c r="N8" s="173"/>
      <c r="O8" s="75"/>
      <c r="P8" s="173"/>
      <c r="Q8" s="76"/>
    </row>
    <row r="9" spans="1:17" ht="13.5" thickBot="1" x14ac:dyDescent="0.35">
      <c r="C9" s="85"/>
      <c r="E9" s="210"/>
      <c r="F9" s="78"/>
      <c r="G9" s="174"/>
      <c r="H9" s="78"/>
      <c r="I9" s="174"/>
      <c r="J9" s="78"/>
      <c r="L9" s="178"/>
      <c r="M9" s="78"/>
      <c r="N9" s="174"/>
      <c r="O9" s="78"/>
      <c r="P9" s="174"/>
      <c r="Q9" s="78"/>
    </row>
    <row r="10" spans="1:17" ht="13.5" thickBot="1" x14ac:dyDescent="0.35">
      <c r="C10" s="86" t="s">
        <v>20</v>
      </c>
      <c r="E10" s="211" t="s">
        <v>157</v>
      </c>
      <c r="F10" s="79"/>
      <c r="G10" s="175" t="s">
        <v>158</v>
      </c>
      <c r="H10" s="79"/>
      <c r="I10" s="175" t="s">
        <v>154</v>
      </c>
      <c r="J10" s="79"/>
      <c r="L10" s="179" t="s">
        <v>157</v>
      </c>
      <c r="M10" s="79"/>
      <c r="N10" s="175" t="s">
        <v>158</v>
      </c>
      <c r="O10" s="79"/>
      <c r="P10" s="175" t="s">
        <v>154</v>
      </c>
      <c r="Q10" s="79"/>
    </row>
    <row r="11" spans="1:17" ht="13.5" thickBot="1" x14ac:dyDescent="0.35">
      <c r="C11" s="16"/>
      <c r="E11" s="212" t="s">
        <v>155</v>
      </c>
      <c r="F11" s="81" t="s">
        <v>156</v>
      </c>
      <c r="G11" s="176" t="s">
        <v>155</v>
      </c>
      <c r="H11" s="81" t="s">
        <v>156</v>
      </c>
      <c r="I11" s="176" t="s">
        <v>155</v>
      </c>
      <c r="J11" s="81" t="s">
        <v>156</v>
      </c>
      <c r="L11" s="180" t="s">
        <v>155</v>
      </c>
      <c r="M11" s="81" t="s">
        <v>156</v>
      </c>
      <c r="N11" s="176" t="s">
        <v>155</v>
      </c>
      <c r="O11" s="81" t="s">
        <v>156</v>
      </c>
      <c r="P11" s="176" t="s">
        <v>155</v>
      </c>
      <c r="Q11" s="81" t="s">
        <v>156</v>
      </c>
    </row>
    <row r="12" spans="1:17" ht="13.5" thickBot="1" x14ac:dyDescent="0.35">
      <c r="C12" s="17"/>
      <c r="E12" s="114"/>
      <c r="F12" s="233"/>
      <c r="G12" s="171"/>
      <c r="H12" s="233"/>
      <c r="J12" s="233"/>
      <c r="M12" s="233"/>
      <c r="O12" s="233"/>
      <c r="Q12" s="233"/>
    </row>
    <row r="13" spans="1:17" ht="13.5" thickBot="1" x14ac:dyDescent="0.35">
      <c r="A13" t="s">
        <v>160</v>
      </c>
      <c r="C13" s="10" t="s">
        <v>21</v>
      </c>
      <c r="E13" s="223">
        <f>-SUMIF('IN Act'!$A:$A,A13,'IN Act'!$P:$P)</f>
        <v>3408.2393099999999</v>
      </c>
      <c r="F13" s="196">
        <f t="shared" ref="F13:F37" si="0">E13/E$13</f>
        <v>1</v>
      </c>
      <c r="G13" s="221">
        <f>-SUMIF('IN Bdg'!$A:$A,A13,'IN Bdg'!$P:$P)</f>
        <v>4772.9497000911642</v>
      </c>
      <c r="H13" s="196">
        <f t="shared" ref="H13:H37" si="1">G13/G$13</f>
        <v>1</v>
      </c>
      <c r="I13" s="214">
        <f t="shared" ref="I13:I37" si="2">E13-G13</f>
        <v>-1364.7103900911643</v>
      </c>
      <c r="J13" s="198">
        <f t="shared" ref="J13:J37" si="3">IF(G13=0,"-",I13/G13)</f>
        <v>-0.28592599458257395</v>
      </c>
      <c r="L13" s="223">
        <f>-SUMIF('IN Act'!$A:$A,$A13,'IN Act'!$Q:$Q)</f>
        <v>3408.2393099999999</v>
      </c>
      <c r="M13" s="196">
        <f t="shared" ref="M13:M37" si="4">L13/L$13</f>
        <v>1</v>
      </c>
      <c r="N13" s="223">
        <f>-SUMIF('IN Bdg'!$A:$A,$A13,'IN Bdg'!$Q:$Q)</f>
        <v>4772.9497000911642</v>
      </c>
      <c r="O13" s="196">
        <f t="shared" ref="O13:O37" si="5">N13/N$13</f>
        <v>1</v>
      </c>
      <c r="P13" s="214">
        <f t="shared" ref="P13:P37" si="6">L13-N13</f>
        <v>-1364.7103900911643</v>
      </c>
      <c r="Q13" s="198">
        <f>IF(N13=0,"-",P13/N13)</f>
        <v>-0.28592599458257395</v>
      </c>
    </row>
    <row r="14" spans="1:17" x14ac:dyDescent="0.25">
      <c r="A14" t="s">
        <v>329</v>
      </c>
      <c r="C14" s="11" t="s">
        <v>22</v>
      </c>
      <c r="E14" s="224">
        <f>-SUMIF('IN Act'!$A:$A,A14,'IN Act'!$P:$P)</f>
        <v>-389.65796999999998</v>
      </c>
      <c r="F14" s="244">
        <f t="shared" si="0"/>
        <v>-0.11432823066640822</v>
      </c>
      <c r="G14" s="227">
        <f>-SUMIF('IN Bdg'!$A:$A,A14,'IN Bdg'!$P:$P)</f>
        <v>-1502.0420010238142</v>
      </c>
      <c r="H14" s="239">
        <f t="shared" si="1"/>
        <v>-0.31469889594586026</v>
      </c>
      <c r="I14" s="215">
        <f t="shared" si="2"/>
        <v>1112.3840310238143</v>
      </c>
      <c r="J14" s="234">
        <f t="shared" si="3"/>
        <v>-0.7405811756699191</v>
      </c>
      <c r="L14" s="224">
        <f>-SUMIF('IN Act'!$A:$A,$A14,'IN Act'!$Q:$Q)</f>
        <v>-389.65796999999998</v>
      </c>
      <c r="M14" s="244">
        <f t="shared" si="4"/>
        <v>-0.11432823066640822</v>
      </c>
      <c r="N14" s="227">
        <f>-SUMIF('IN Bdg'!$A:$A,$A14,'IN Bdg'!$Q:$Q)</f>
        <v>-1502.0420010238142</v>
      </c>
      <c r="O14" s="239">
        <f t="shared" si="5"/>
        <v>-0.31469889594586026</v>
      </c>
      <c r="P14" s="215">
        <f t="shared" si="6"/>
        <v>1112.3840310238143</v>
      </c>
      <c r="Q14" s="234">
        <f>IF(N14=0,"-",-P14/N14)</f>
        <v>0.7405811756699191</v>
      </c>
    </row>
    <row r="15" spans="1:17" s="8" customFormat="1" ht="13" x14ac:dyDescent="0.3">
      <c r="C15" s="12" t="s">
        <v>23</v>
      </c>
      <c r="E15" s="222">
        <f>SUM(E13:E14)</f>
        <v>3018.5813399999997</v>
      </c>
      <c r="F15" s="246">
        <f t="shared" si="0"/>
        <v>0.88567176933359171</v>
      </c>
      <c r="G15" s="229">
        <f>SUM(G13:G14)</f>
        <v>3270.9076990673502</v>
      </c>
      <c r="H15" s="241">
        <f t="shared" si="1"/>
        <v>0.6853011040541398</v>
      </c>
      <c r="I15" s="218">
        <f t="shared" si="2"/>
        <v>-252.3263590673505</v>
      </c>
      <c r="J15" s="236">
        <f t="shared" si="3"/>
        <v>-7.714261063963912E-2</v>
      </c>
      <c r="L15" s="222">
        <f>SUM(L13:L14)</f>
        <v>3018.5813399999997</v>
      </c>
      <c r="M15" s="246">
        <f t="shared" si="4"/>
        <v>0.88567176933359171</v>
      </c>
      <c r="N15" s="229">
        <f>SUM(N13:N14)</f>
        <v>3270.9076990673502</v>
      </c>
      <c r="O15" s="241">
        <f t="shared" si="5"/>
        <v>0.6853011040541398</v>
      </c>
      <c r="P15" s="218">
        <f t="shared" si="6"/>
        <v>-252.3263590673505</v>
      </c>
      <c r="Q15" s="236">
        <f>IF(N15=0,"-",P15/N15)</f>
        <v>-7.714261063963912E-2</v>
      </c>
    </row>
    <row r="16" spans="1:17" x14ac:dyDescent="0.25">
      <c r="A16" t="s">
        <v>227</v>
      </c>
      <c r="C16" s="11" t="s">
        <v>24</v>
      </c>
      <c r="E16" s="224">
        <f>-SUMIF('IN Act'!$A:$A,A16,'IN Act'!$P:$P)</f>
        <v>-790.20686000000001</v>
      </c>
      <c r="F16" s="244">
        <f t="shared" si="0"/>
        <v>-0.23185192943508418</v>
      </c>
      <c r="G16" s="227">
        <f>-SUMIF('IN Bdg'!$A:$A,A16,'IN Bdg'!$P:$P)</f>
        <v>-428.25578061224485</v>
      </c>
      <c r="H16" s="239">
        <f t="shared" si="1"/>
        <v>-8.9725601047935852E-2</v>
      </c>
      <c r="I16" s="215">
        <f t="shared" si="2"/>
        <v>-361.95107938775516</v>
      </c>
      <c r="J16" s="234">
        <f t="shared" si="3"/>
        <v>0.84517500002055113</v>
      </c>
      <c r="L16" s="224">
        <f>-SUMIF('IN Act'!$A:$A,$A16,'IN Act'!$Q:$Q)</f>
        <v>-790.20686000000001</v>
      </c>
      <c r="M16" s="244">
        <f t="shared" si="4"/>
        <v>-0.23185192943508418</v>
      </c>
      <c r="N16" s="227">
        <f>-SUMIF('IN Bdg'!$A:$A,$A16,'IN Bdg'!$Q:$Q)</f>
        <v>-428.25578061224485</v>
      </c>
      <c r="O16" s="239">
        <f t="shared" si="5"/>
        <v>-8.9725601047935852E-2</v>
      </c>
      <c r="P16" s="215">
        <f t="shared" si="6"/>
        <v>-361.95107938775516</v>
      </c>
      <c r="Q16" s="234">
        <f t="shared" ref="Q16:Q21" si="7">IF(N16=0,"-",-P16/N16)</f>
        <v>-0.84517500002055113</v>
      </c>
    </row>
    <row r="17" spans="1:18" ht="13" thickBot="1" x14ac:dyDescent="0.3">
      <c r="C17" s="18" t="s">
        <v>28</v>
      </c>
      <c r="E17" s="295">
        <f>SUM(E18:E21)</f>
        <v>-431.16406000000018</v>
      </c>
      <c r="F17" s="245">
        <f t="shared" si="0"/>
        <v>-0.12650639253380366</v>
      </c>
      <c r="G17" s="294">
        <f>SUM(G18:G21)</f>
        <v>-663.55199792959604</v>
      </c>
      <c r="H17" s="240">
        <f t="shared" si="1"/>
        <v>-0.1390234633976809</v>
      </c>
      <c r="I17" s="216">
        <f t="shared" si="2"/>
        <v>232.38793792959586</v>
      </c>
      <c r="J17" s="235">
        <f t="shared" si="3"/>
        <v>-0.35021812707171235</v>
      </c>
      <c r="L17" s="295">
        <f>SUM(L18:L21)</f>
        <v>-431.16406000000018</v>
      </c>
      <c r="M17" s="245">
        <f t="shared" si="4"/>
        <v>-0.12650639253380366</v>
      </c>
      <c r="N17" s="294">
        <f>SUM(N18:N21)</f>
        <v>-663.55199792959604</v>
      </c>
      <c r="O17" s="240">
        <f t="shared" si="5"/>
        <v>-0.1390234633976809</v>
      </c>
      <c r="P17" s="216">
        <f t="shared" si="6"/>
        <v>232.38793792959586</v>
      </c>
      <c r="Q17" s="235">
        <f t="shared" si="7"/>
        <v>0.35021812707171235</v>
      </c>
    </row>
    <row r="18" spans="1:18" ht="13.5" thickTop="1" x14ac:dyDescent="0.3">
      <c r="A18" t="s">
        <v>336</v>
      </c>
      <c r="C18" s="19" t="s">
        <v>29</v>
      </c>
      <c r="E18" s="225">
        <f>-SUMIF('IN Act'!$A:$A,A18,'IN Act'!$P:$P)</f>
        <v>-9.4088800000000017</v>
      </c>
      <c r="F18" s="244">
        <f t="shared" si="0"/>
        <v>-2.7606277447694838E-3</v>
      </c>
      <c r="G18" s="228">
        <f>-SUMIF('IN Bdg'!$A:$A,A18,'IN Bdg'!$P:$P)</f>
        <v>2.9224669510622636</v>
      </c>
      <c r="H18" s="239">
        <f t="shared" si="1"/>
        <v>6.1229787336884018E-4</v>
      </c>
      <c r="I18" s="217">
        <f t="shared" si="2"/>
        <v>-12.331346951062265</v>
      </c>
      <c r="J18" s="234">
        <f t="shared" si="3"/>
        <v>-4.2194991962458444</v>
      </c>
      <c r="L18" s="225">
        <f>-SUMIF('IN Act'!$A:$A,$A18,'IN Act'!$Q:$Q)</f>
        <v>-9.4088800000000017</v>
      </c>
      <c r="M18" s="244">
        <f t="shared" si="4"/>
        <v>-2.7606277447694838E-3</v>
      </c>
      <c r="N18" s="228">
        <f>-SUMIF('IN Bdg'!$A:$A,$A18,'IN Bdg'!$Q:$Q)</f>
        <v>2.9224669510622636</v>
      </c>
      <c r="O18" s="239">
        <f t="shared" si="5"/>
        <v>6.1229787336884018E-4</v>
      </c>
      <c r="P18" s="217">
        <f t="shared" si="6"/>
        <v>-12.331346951062265</v>
      </c>
      <c r="Q18" s="234">
        <f t="shared" si="7"/>
        <v>4.2194991962458444</v>
      </c>
    </row>
    <row r="19" spans="1:18" ht="13" x14ac:dyDescent="0.3">
      <c r="A19" t="s">
        <v>335</v>
      </c>
      <c r="C19" s="19" t="s">
        <v>30</v>
      </c>
      <c r="E19" s="225">
        <f>-SUMIF('IN Act'!$A:$A,A19,'IN Act'!$P:$P)</f>
        <v>-7.764369999999996</v>
      </c>
      <c r="F19" s="244">
        <f t="shared" si="0"/>
        <v>-2.278117612580437E-3</v>
      </c>
      <c r="G19" s="228">
        <f>-SUMIF('IN Bdg'!$A:$A,A19,'IN Bdg'!$P:$P)</f>
        <v>-18.574768333333335</v>
      </c>
      <c r="H19" s="239">
        <f t="shared" si="1"/>
        <v>-3.8916748552742034E-3</v>
      </c>
      <c r="I19" s="217">
        <f t="shared" si="2"/>
        <v>10.810398333333339</v>
      </c>
      <c r="J19" s="234">
        <f t="shared" si="3"/>
        <v>-0.58199370992603705</v>
      </c>
      <c r="L19" s="225">
        <f>-SUMIF('IN Act'!$A:$A,$A19,'IN Act'!$Q:$Q)</f>
        <v>-7.764369999999996</v>
      </c>
      <c r="M19" s="244">
        <f t="shared" si="4"/>
        <v>-2.278117612580437E-3</v>
      </c>
      <c r="N19" s="228">
        <f>-SUMIF('IN Bdg'!$A:$A,$A19,'IN Bdg'!$Q:$Q)</f>
        <v>-18.574768333333335</v>
      </c>
      <c r="O19" s="239">
        <f t="shared" si="5"/>
        <v>-3.8916748552742034E-3</v>
      </c>
      <c r="P19" s="217">
        <f t="shared" si="6"/>
        <v>10.810398333333339</v>
      </c>
      <c r="Q19" s="234">
        <f t="shared" si="7"/>
        <v>0.58199370992603705</v>
      </c>
    </row>
    <row r="20" spans="1:18" ht="13" x14ac:dyDescent="0.3">
      <c r="A20" t="s">
        <v>337</v>
      </c>
      <c r="C20" s="19" t="s">
        <v>31</v>
      </c>
      <c r="E20" s="225">
        <f>-SUMIF('IN Act'!$A:$A,A20,'IN Act'!$P:$P)</f>
        <v>-390.39614000000017</v>
      </c>
      <c r="F20" s="244">
        <f t="shared" si="0"/>
        <v>-0.11454481463627042</v>
      </c>
      <c r="G20" s="228">
        <f>-SUMIF('IN Bdg'!$A:$A,A20,'IN Bdg'!$P:$P)</f>
        <v>-439.36723654732498</v>
      </c>
      <c r="H20" s="239">
        <f t="shared" si="1"/>
        <v>-9.2053607130813259E-2</v>
      </c>
      <c r="I20" s="217">
        <f t="shared" si="2"/>
        <v>48.971096547324805</v>
      </c>
      <c r="J20" s="234">
        <f t="shared" si="3"/>
        <v>-0.11145823464706624</v>
      </c>
      <c r="L20" s="225">
        <f>-SUMIF('IN Act'!$A:$A,$A20,'IN Act'!$Q:$Q)</f>
        <v>-390.39614000000017</v>
      </c>
      <c r="M20" s="244">
        <f t="shared" si="4"/>
        <v>-0.11454481463627042</v>
      </c>
      <c r="N20" s="228">
        <f>-SUMIF('IN Bdg'!$A:$A,$A20,'IN Bdg'!$Q:$Q)</f>
        <v>-439.36723654732498</v>
      </c>
      <c r="O20" s="239">
        <f t="shared" si="5"/>
        <v>-9.2053607130813259E-2</v>
      </c>
      <c r="P20" s="217">
        <f t="shared" si="6"/>
        <v>48.971096547324805</v>
      </c>
      <c r="Q20" s="234">
        <f t="shared" si="7"/>
        <v>0.11145823464706624</v>
      </c>
      <c r="R20" s="171"/>
    </row>
    <row r="21" spans="1:18" ht="13" x14ac:dyDescent="0.3">
      <c r="A21" t="s">
        <v>325</v>
      </c>
      <c r="B21" t="s">
        <v>346</v>
      </c>
      <c r="C21" s="19" t="s">
        <v>32</v>
      </c>
      <c r="E21" s="225">
        <f>-SUMIF('IN Act'!$A:$A,A21,'IN Act'!$P:$P)-SUMIF('IN Act'!$A:$A,B21,'IN Act'!$P:$P)</f>
        <v>-23.594670000000004</v>
      </c>
      <c r="F21" s="244">
        <f t="shared" si="0"/>
        <v>-6.9228325401833376E-3</v>
      </c>
      <c r="G21" s="228">
        <f>-SUMIF('IN Bdg'!$A:$A,A21,'IN Bdg'!$P:$P)-SUMIF('IN Bdg'!$A:$A,B21,'IN Bdg'!$P:$P)</f>
        <v>-208.53246000000001</v>
      </c>
      <c r="H21" s="239">
        <f t="shared" si="1"/>
        <v>-4.3690479284962294E-2</v>
      </c>
      <c r="I21" s="217">
        <f t="shared" si="2"/>
        <v>184.93779000000001</v>
      </c>
      <c r="J21" s="234">
        <f t="shared" si="3"/>
        <v>-0.88685373010993107</v>
      </c>
      <c r="L21" s="225">
        <f>-SUMIF('IN Act'!$A:$A,$A21,'IN Act'!$Q:$Q)-SUMIF('IN Act'!$A:$A,$B21,'IN Act'!$Q:$Q)</f>
        <v>-23.594670000000004</v>
      </c>
      <c r="M21" s="244">
        <f t="shared" si="4"/>
        <v>-6.9228325401833376E-3</v>
      </c>
      <c r="N21" s="228">
        <f>-SUMIF('IN Bdg'!$A:$A,$A21,'IN Bdg'!$Q:$Q)-SUMIF('IN Bdg'!$A:$A,$B21,'IN Bdg'!$Q:$Q)</f>
        <v>-208.53246000000001</v>
      </c>
      <c r="O21" s="239">
        <f t="shared" si="5"/>
        <v>-4.3690479284962294E-2</v>
      </c>
      <c r="P21" s="217">
        <f t="shared" si="6"/>
        <v>184.93779000000001</v>
      </c>
      <c r="Q21" s="234">
        <f t="shared" si="7"/>
        <v>0.88685373010993107</v>
      </c>
      <c r="R21" s="171"/>
    </row>
    <row r="22" spans="1:18" ht="13" x14ac:dyDescent="0.3">
      <c r="C22" s="12" t="s">
        <v>33</v>
      </c>
      <c r="E22" s="222">
        <f>SUM(E17,E16,E15)</f>
        <v>1797.2104199999994</v>
      </c>
      <c r="F22" s="246">
        <f t="shared" si="0"/>
        <v>0.52731344736470387</v>
      </c>
      <c r="G22" s="229">
        <f>SUM(G17,G16,G15)</f>
        <v>2179.0999205255093</v>
      </c>
      <c r="H22" s="241">
        <f t="shared" si="1"/>
        <v>0.45655203960852303</v>
      </c>
      <c r="I22" s="218">
        <f t="shared" si="2"/>
        <v>-381.8895005255099</v>
      </c>
      <c r="J22" s="236">
        <f t="shared" si="3"/>
        <v>-0.17525102769652429</v>
      </c>
      <c r="L22" s="222">
        <f>SUM(L17,L16,L15)</f>
        <v>1797.2104199999994</v>
      </c>
      <c r="M22" s="246">
        <f t="shared" si="4"/>
        <v>0.52731344736470387</v>
      </c>
      <c r="N22" s="229">
        <f>SUM(N17,N16,N15)</f>
        <v>2179.0999205255093</v>
      </c>
      <c r="O22" s="241">
        <f t="shared" si="5"/>
        <v>0.45655203960852303</v>
      </c>
      <c r="P22" s="218">
        <f t="shared" si="6"/>
        <v>-381.8895005255099</v>
      </c>
      <c r="Q22" s="236">
        <f>IF(N22=0,"-",P22/N22)</f>
        <v>-0.17525102769652429</v>
      </c>
    </row>
    <row r="23" spans="1:18" x14ac:dyDescent="0.25">
      <c r="A23" t="s">
        <v>333</v>
      </c>
      <c r="B23" t="s">
        <v>162</v>
      </c>
      <c r="C23" s="11" t="s">
        <v>25</v>
      </c>
      <c r="E23" s="224">
        <f>-SUMIF('IN Act'!$A:$A,A23,'IN Act'!$P:$P)-SUMIF('IN Act'!$A:$A,B23,'IN Act'!$P:$P)</f>
        <v>-1096.4783900000002</v>
      </c>
      <c r="F23" s="244">
        <f t="shared" si="0"/>
        <v>-0.32171402600247584</v>
      </c>
      <c r="G23" s="227">
        <f>-SUMIF('IN Bdg'!$A:$A,A23,'IN Bdg'!$P:$P)-SUMIF('IN Bdg'!$A:$A,B23,'IN Bdg'!$P:$P)</f>
        <v>-1161.8311192272295</v>
      </c>
      <c r="H23" s="239">
        <f t="shared" si="1"/>
        <v>-0.2434199378227343</v>
      </c>
      <c r="I23" s="215">
        <f t="shared" si="2"/>
        <v>65.352729227229247</v>
      </c>
      <c r="J23" s="234">
        <f t="shared" si="3"/>
        <v>-5.6249766550148364E-2</v>
      </c>
      <c r="L23" s="224">
        <f>-SUMIF('IN Act'!$A:$A,$A23,'IN Act'!$Q:$Q)-SUMIF('IN Act'!$A:$A,$B23,'IN Act'!$Q:$Q)</f>
        <v>-1096.4783900000002</v>
      </c>
      <c r="M23" s="244">
        <f t="shared" si="4"/>
        <v>-0.32171402600247584</v>
      </c>
      <c r="N23" s="227">
        <f>-SUMIF('IN Bdg'!$A:$A,$A23,'IN Bdg'!$Q:$Q)-SUMIF('IN Bdg'!$A:$A,$B23,'IN Bdg'!$Q:$Q)</f>
        <v>-1161.8311192272295</v>
      </c>
      <c r="O23" s="239">
        <f t="shared" si="5"/>
        <v>-0.2434199378227343</v>
      </c>
      <c r="P23" s="215">
        <f t="shared" si="6"/>
        <v>65.352729227229247</v>
      </c>
      <c r="Q23" s="234">
        <f>IF(N23=0,"-",-P23/N23)</f>
        <v>5.6249766550148364E-2</v>
      </c>
    </row>
    <row r="24" spans="1:18" x14ac:dyDescent="0.25">
      <c r="A24" t="s">
        <v>334</v>
      </c>
      <c r="C24" s="11" t="s">
        <v>34</v>
      </c>
      <c r="E24" s="224">
        <f>-SUMIF('IN Act'!$A:$A,A24,'IN Act'!$P:$P)</f>
        <v>-103.20163000000001</v>
      </c>
      <c r="F24" s="244">
        <f t="shared" si="0"/>
        <v>-3.0280042160537139E-2</v>
      </c>
      <c r="G24" s="227">
        <f>-SUMIF('IN Bdg'!$A:$A,A24,'IN Bdg'!$P:$P)</f>
        <v>-145.93099089927318</v>
      </c>
      <c r="H24" s="239">
        <f t="shared" si="1"/>
        <v>-3.0574592247742706E-2</v>
      </c>
      <c r="I24" s="215">
        <f t="shared" si="2"/>
        <v>42.729360899273175</v>
      </c>
      <c r="J24" s="234">
        <f t="shared" si="3"/>
        <v>-0.29280525429150628</v>
      </c>
      <c r="L24" s="224">
        <f>-SUMIF('IN Act'!$A:$A,$A24,'IN Act'!$Q:$Q)</f>
        <v>-103.20163000000001</v>
      </c>
      <c r="M24" s="244">
        <f t="shared" si="4"/>
        <v>-3.0280042160537139E-2</v>
      </c>
      <c r="N24" s="227">
        <f>-SUMIF('IN Bdg'!$A:$A,$A24,'IN Bdg'!$Q:$Q)</f>
        <v>-145.93099089927318</v>
      </c>
      <c r="O24" s="239">
        <f t="shared" si="5"/>
        <v>-3.0574592247742706E-2</v>
      </c>
      <c r="P24" s="215">
        <f t="shared" si="6"/>
        <v>42.729360899273175</v>
      </c>
      <c r="Q24" s="234">
        <f>IF(N24=0,"-",-P24/N24)</f>
        <v>0.29280525429150628</v>
      </c>
    </row>
    <row r="25" spans="1:18" ht="13" x14ac:dyDescent="0.3">
      <c r="C25" s="12" t="s">
        <v>35</v>
      </c>
      <c r="E25" s="222">
        <f>SUM(E22:E24)</f>
        <v>597.53039999999919</v>
      </c>
      <c r="F25" s="246">
        <f t="shared" si="0"/>
        <v>0.17531937920169086</v>
      </c>
      <c r="G25" s="229">
        <f>SUM(G22:G24)</f>
        <v>871.33781039900668</v>
      </c>
      <c r="H25" s="241">
        <f t="shared" si="1"/>
        <v>0.18255750953804603</v>
      </c>
      <c r="I25" s="218">
        <f t="shared" si="2"/>
        <v>-273.80741039900749</v>
      </c>
      <c r="J25" s="236">
        <f t="shared" si="3"/>
        <v>-0.31423795355973871</v>
      </c>
      <c r="L25" s="222">
        <f>SUM(L22:L24)</f>
        <v>597.53039999999919</v>
      </c>
      <c r="M25" s="246">
        <f t="shared" si="4"/>
        <v>0.17531937920169086</v>
      </c>
      <c r="N25" s="229">
        <f>SUM(N22:N24)</f>
        <v>871.33781039900668</v>
      </c>
      <c r="O25" s="241">
        <f t="shared" si="5"/>
        <v>0.18255750953804603</v>
      </c>
      <c r="P25" s="218">
        <f t="shared" si="6"/>
        <v>-273.80741039900749</v>
      </c>
      <c r="Q25" s="236">
        <f>IF(N25=0,"-",P25/N25)</f>
        <v>-0.31423795355973871</v>
      </c>
    </row>
    <row r="26" spans="1:18" x14ac:dyDescent="0.25">
      <c r="A26" t="s">
        <v>330</v>
      </c>
      <c r="B26" t="s">
        <v>347</v>
      </c>
      <c r="C26" s="13" t="s">
        <v>36</v>
      </c>
      <c r="E26" s="224">
        <f>-SUMIF('IN Act'!$A:$A,A26,'IN Act'!$P:$P)-SUMIF('IN Act'!$A:$A,B26,'IN Act'!$P:$P)</f>
        <v>-1669</v>
      </c>
      <c r="F26" s="244">
        <f t="shared" si="0"/>
        <v>-0.48969566048459195</v>
      </c>
      <c r="G26" s="227">
        <f>-SUMIF('IN Bdg'!$A:$A,A26,'IN Bdg'!$P:$P)-SUMIF('IN Bdg'!$A:$A,B26,'IN Bdg'!$P:$P)</f>
        <v>-718.18189420386466</v>
      </c>
      <c r="H26" s="239">
        <f t="shared" si="1"/>
        <v>-0.15046919396409045</v>
      </c>
      <c r="I26" s="215">
        <f t="shared" si="2"/>
        <v>-950.81810579613534</v>
      </c>
      <c r="J26" s="234">
        <f t="shared" si="3"/>
        <v>1.3239238046374837</v>
      </c>
      <c r="L26" s="224">
        <f>-SUMIF('IN Act'!$A:$A,$A26,'IN Act'!$Q:$Q)-SUMIF('IN Act'!$A:$A,$B26,'IN Act'!$Q:$Q)</f>
        <v>-1669</v>
      </c>
      <c r="M26" s="244">
        <f t="shared" si="4"/>
        <v>-0.48969566048459195</v>
      </c>
      <c r="N26" s="227">
        <f>-SUMIF('IN Bdg'!$A:$A,$A26,'IN Bdg'!$Q:$Q)-SUMIF('IN Bdg'!$A:$A,$B26,'IN Bdg'!$Q:$Q)</f>
        <v>-718.18189420386466</v>
      </c>
      <c r="O26" s="239">
        <f t="shared" si="5"/>
        <v>-0.15046919396409045</v>
      </c>
      <c r="P26" s="215">
        <f t="shared" si="6"/>
        <v>-950.81810579613534</v>
      </c>
      <c r="Q26" s="234">
        <f t="shared" ref="Q26:Q31" si="8">IF(N26=0,"-",-P26/N26)</f>
        <v>-1.3239238046374837</v>
      </c>
    </row>
    <row r="27" spans="1:18" ht="13" thickBot="1" x14ac:dyDescent="0.3">
      <c r="A27" t="s">
        <v>338</v>
      </c>
      <c r="C27" s="13" t="s">
        <v>37</v>
      </c>
      <c r="E27" s="224">
        <f>-SUMIF('IN Act'!$A:$A,A27,'IN Act'!$P:$P)</f>
        <v>0</v>
      </c>
      <c r="F27" s="244">
        <f t="shared" si="0"/>
        <v>0</v>
      </c>
      <c r="G27" s="227">
        <f>-SUMIF('IN Bdg'!$A:$A,A27,'IN Bdg'!$P:$P)</f>
        <v>-67.67</v>
      </c>
      <c r="H27" s="239">
        <f t="shared" si="1"/>
        <v>-1.4177815449994684E-2</v>
      </c>
      <c r="I27" s="215">
        <f t="shared" si="2"/>
        <v>67.67</v>
      </c>
      <c r="J27" s="234">
        <f t="shared" si="3"/>
        <v>-1</v>
      </c>
      <c r="L27" s="224">
        <f>-SUMIF('IN Act'!$A:$A,$A27,'IN Act'!$Q:$Q)</f>
        <v>0</v>
      </c>
      <c r="M27" s="244">
        <f t="shared" si="4"/>
        <v>0</v>
      </c>
      <c r="N27" s="227">
        <f>-SUMIF('IN Bdg'!$A:$A,$A27,'IN Bdg'!$Q:$Q)</f>
        <v>-67.67</v>
      </c>
      <c r="O27" s="239">
        <f t="shared" si="5"/>
        <v>-1.4177815449994684E-2</v>
      </c>
      <c r="P27" s="215">
        <f t="shared" si="6"/>
        <v>67.67</v>
      </c>
      <c r="Q27" s="234">
        <f t="shared" si="8"/>
        <v>1</v>
      </c>
    </row>
    <row r="28" spans="1:18" ht="13.5" thickBot="1" x14ac:dyDescent="0.35">
      <c r="C28" s="15" t="s">
        <v>348</v>
      </c>
      <c r="E28" s="226">
        <f>SUM(E25:E27)</f>
        <v>-1071.4696000000008</v>
      </c>
      <c r="F28" s="247">
        <f t="shared" si="0"/>
        <v>-0.31437628128290113</v>
      </c>
      <c r="G28" s="230">
        <f>SUM(G25:G27)</f>
        <v>85.485916195142025</v>
      </c>
      <c r="H28" s="242">
        <f t="shared" si="1"/>
        <v>1.7910500123960917E-2</v>
      </c>
      <c r="I28" s="219">
        <f t="shared" si="2"/>
        <v>-1156.9555161951428</v>
      </c>
      <c r="J28" s="237">
        <f t="shared" si="3"/>
        <v>-13.533872802557505</v>
      </c>
      <c r="L28" s="226">
        <f>SUM(L25:L27)</f>
        <v>-1071.4696000000008</v>
      </c>
      <c r="M28" s="247">
        <f t="shared" si="4"/>
        <v>-0.31437628128290113</v>
      </c>
      <c r="N28" s="230">
        <f>SUM(N25:N27)</f>
        <v>85.485916195142025</v>
      </c>
      <c r="O28" s="242">
        <f t="shared" si="5"/>
        <v>1.7910500123960917E-2</v>
      </c>
      <c r="P28" s="219">
        <f t="shared" si="6"/>
        <v>-1156.9555161951428</v>
      </c>
      <c r="Q28" s="237">
        <f t="shared" si="8"/>
        <v>13.533872802557505</v>
      </c>
    </row>
    <row r="29" spans="1:18" x14ac:dyDescent="0.25">
      <c r="A29" t="s">
        <v>331</v>
      </c>
      <c r="C29" s="11" t="s">
        <v>38</v>
      </c>
      <c r="E29" s="224">
        <f>-SUMIF('IN Act'!$A:$A,A29,'IN Act'!$P:$P)</f>
        <v>-360</v>
      </c>
      <c r="F29" s="244">
        <f t="shared" si="0"/>
        <v>-0.10562638572465735</v>
      </c>
      <c r="G29" s="227">
        <f>-SUMIF('IN Bdg'!$A:$A,A29,'IN Bdg'!$P:$P)</f>
        <v>-151.98202499999999</v>
      </c>
      <c r="H29" s="239">
        <f t="shared" si="1"/>
        <v>-3.1842368880840521E-2</v>
      </c>
      <c r="I29" s="215">
        <f t="shared" si="2"/>
        <v>-208.01797500000001</v>
      </c>
      <c r="J29" s="234">
        <f t="shared" si="3"/>
        <v>1.3687011671281524</v>
      </c>
      <c r="L29" s="224">
        <f>-SUMIF('IN Act'!$A:$A,$A29,'IN Act'!$Q:$Q)</f>
        <v>-360</v>
      </c>
      <c r="M29" s="244">
        <f t="shared" si="4"/>
        <v>-0.10562638572465735</v>
      </c>
      <c r="N29" s="227">
        <f>-SUMIF('IN Bdg'!$A:$A,$A29,'IN Bdg'!$Q:$Q)</f>
        <v>-151.98202499999999</v>
      </c>
      <c r="O29" s="239">
        <f t="shared" si="5"/>
        <v>-3.1842368880840521E-2</v>
      </c>
      <c r="P29" s="215">
        <f t="shared" si="6"/>
        <v>-208.01797500000001</v>
      </c>
      <c r="Q29" s="234">
        <f t="shared" si="8"/>
        <v>-1.3687011671281524</v>
      </c>
    </row>
    <row r="30" spans="1:18" ht="13" thickBot="1" x14ac:dyDescent="0.3">
      <c r="A30" t="s">
        <v>332</v>
      </c>
      <c r="C30" s="11" t="s">
        <v>39</v>
      </c>
      <c r="E30" s="224">
        <f>-SUMIF('IN Act'!$A:$A,A30,'IN Act'!$P:$P)</f>
        <v>0</v>
      </c>
      <c r="F30" s="244">
        <f t="shared" si="0"/>
        <v>0</v>
      </c>
      <c r="G30" s="227">
        <f>-SUMIF('IN Bdg'!$A:$A,A30,'IN Bdg'!$P:$P)</f>
        <v>-43.14033666666667</v>
      </c>
      <c r="H30" s="239">
        <f t="shared" si="1"/>
        <v>-9.0385064535338979E-3</v>
      </c>
      <c r="I30" s="215">
        <f t="shared" si="2"/>
        <v>43.14033666666667</v>
      </c>
      <c r="J30" s="234">
        <f t="shared" si="3"/>
        <v>-1</v>
      </c>
      <c r="L30" s="224">
        <f>-SUMIF('IN Act'!$A:$A,$A30,'IN Act'!$Q:$Q)</f>
        <v>0</v>
      </c>
      <c r="M30" s="244">
        <f t="shared" si="4"/>
        <v>0</v>
      </c>
      <c r="N30" s="227">
        <f>-SUMIF('IN Bdg'!$A:$A,$A30,'IN Bdg'!$Q:$Q)</f>
        <v>-43.14033666666667</v>
      </c>
      <c r="O30" s="239">
        <f t="shared" si="5"/>
        <v>-9.0385064535338979E-3</v>
      </c>
      <c r="P30" s="215">
        <f t="shared" si="6"/>
        <v>43.14033666666667</v>
      </c>
      <c r="Q30" s="234">
        <f t="shared" si="8"/>
        <v>1</v>
      </c>
    </row>
    <row r="31" spans="1:18" ht="13.5" thickBot="1" x14ac:dyDescent="0.35">
      <c r="C31" s="15" t="s">
        <v>40</v>
      </c>
      <c r="E31" s="226">
        <f>SUM(E28:E30)</f>
        <v>-1431.4696000000008</v>
      </c>
      <c r="F31" s="247">
        <f t="shared" si="0"/>
        <v>-0.42000266700755845</v>
      </c>
      <c r="G31" s="226">
        <f>SUM(G28:G30)</f>
        <v>-109.63644547152464</v>
      </c>
      <c r="H31" s="242">
        <f t="shared" si="1"/>
        <v>-2.29703752104135E-2</v>
      </c>
      <c r="I31" s="219">
        <f t="shared" si="2"/>
        <v>-1321.8331545284761</v>
      </c>
      <c r="J31" s="237">
        <f t="shared" si="3"/>
        <v>12.056512310696808</v>
      </c>
      <c r="L31" s="226">
        <f>SUM(L28:L30)</f>
        <v>-1431.4696000000008</v>
      </c>
      <c r="M31" s="247">
        <f t="shared" si="4"/>
        <v>-0.42000266700755845</v>
      </c>
      <c r="N31" s="226">
        <f>SUM(N28:N30)</f>
        <v>-109.63644547152464</v>
      </c>
      <c r="O31" s="242">
        <f t="shared" si="5"/>
        <v>-2.29703752104135E-2</v>
      </c>
      <c r="P31" s="219">
        <f t="shared" si="6"/>
        <v>-1321.8331545284761</v>
      </c>
      <c r="Q31" s="237">
        <f t="shared" si="8"/>
        <v>-12.056512310696808</v>
      </c>
    </row>
    <row r="32" spans="1:18" x14ac:dyDescent="0.25">
      <c r="A32" t="s">
        <v>234</v>
      </c>
      <c r="C32" s="13" t="s">
        <v>41</v>
      </c>
      <c r="E32" s="224">
        <f>-SUMIF('IN Act'!$A:$A,A32,'IN Act'!$P:$P)</f>
        <v>525</v>
      </c>
      <c r="F32" s="244">
        <f t="shared" si="0"/>
        <v>0.15403847918179198</v>
      </c>
      <c r="G32" s="227">
        <f>-SUMIF('IN Bdg'!$A:$A,A32,'IN Bdg'!$P:$P)</f>
        <v>158.28896538189406</v>
      </c>
      <c r="H32" s="239">
        <f t="shared" si="1"/>
        <v>3.3163761474140553E-2</v>
      </c>
      <c r="I32" s="215">
        <f t="shared" si="2"/>
        <v>366.71103461810594</v>
      </c>
      <c r="J32" s="234">
        <f t="shared" si="3"/>
        <v>2.3167188801402849</v>
      </c>
      <c r="L32" s="224">
        <f>-SUMIF('IN Act'!$A:$A,$A32,'IN Act'!$Q:$Q)</f>
        <v>525</v>
      </c>
      <c r="M32" s="244">
        <f t="shared" si="4"/>
        <v>0.15403847918179198</v>
      </c>
      <c r="N32" s="227">
        <f>-SUMIF('IN Bdg'!$A:$A,$A32,'IN Bdg'!$Q:$Q)</f>
        <v>158.28896538189406</v>
      </c>
      <c r="O32" s="239">
        <f t="shared" si="5"/>
        <v>3.3163761474140553E-2</v>
      </c>
      <c r="P32" s="215">
        <f t="shared" si="6"/>
        <v>366.71103461810594</v>
      </c>
      <c r="Q32" s="234">
        <f>IF(N32=0,"-",P32/N32)</f>
        <v>2.3167188801402849</v>
      </c>
      <c r="R32" s="171"/>
    </row>
    <row r="33" spans="1:18" ht="13" thickBot="1" x14ac:dyDescent="0.3">
      <c r="A33" t="s">
        <v>238</v>
      </c>
      <c r="C33" s="13" t="s">
        <v>42</v>
      </c>
      <c r="E33" s="224">
        <f>-SUMIF('IN Act'!$A:$A,A33,'IN Act'!$P:$P)</f>
        <v>45</v>
      </c>
      <c r="F33" s="244">
        <f t="shared" si="0"/>
        <v>1.3203298215582169E-2</v>
      </c>
      <c r="G33" s="227">
        <f>-SUMIF('IN Bdg'!$A:$A,A33,'IN Bdg'!$P:$P)</f>
        <v>-75.607244598911421</v>
      </c>
      <c r="H33" s="239">
        <f t="shared" si="1"/>
        <v>-1.5840779674981136E-2</v>
      </c>
      <c r="I33" s="215">
        <f t="shared" si="2"/>
        <v>120.60724459891142</v>
      </c>
      <c r="J33" s="234">
        <f t="shared" si="3"/>
        <v>-1.5951810602108347</v>
      </c>
      <c r="L33" s="224">
        <f>-SUMIF('IN Act'!$A:$A,$A33,'IN Act'!$Q:$Q)</f>
        <v>45</v>
      </c>
      <c r="M33" s="244">
        <f t="shared" si="4"/>
        <v>1.3203298215582169E-2</v>
      </c>
      <c r="N33" s="227">
        <f>-SUMIF('IN Bdg'!$A:$A,$A33,'IN Bdg'!$Q:$Q)</f>
        <v>-75.607244598911421</v>
      </c>
      <c r="O33" s="239">
        <f t="shared" si="5"/>
        <v>-1.5840779674981136E-2</v>
      </c>
      <c r="P33" s="215">
        <f t="shared" si="6"/>
        <v>120.60724459891142</v>
      </c>
      <c r="Q33" s="234">
        <f>IF(N33=0,"-",-P33/N33)</f>
        <v>1.5951810602108347</v>
      </c>
      <c r="R33" s="171"/>
    </row>
    <row r="34" spans="1:18" ht="13.5" thickBot="1" x14ac:dyDescent="0.35">
      <c r="C34" s="14" t="s">
        <v>43</v>
      </c>
      <c r="E34" s="226">
        <f>SUM(E31:E33)</f>
        <v>-861.46960000000081</v>
      </c>
      <c r="F34" s="248">
        <f t="shared" si="0"/>
        <v>-0.25276088961018434</v>
      </c>
      <c r="G34" s="226">
        <f>SUM(G31:G33)</f>
        <v>-26.954724688542001</v>
      </c>
      <c r="H34" s="243">
        <f t="shared" si="1"/>
        <v>-5.6473934112540852E-3</v>
      </c>
      <c r="I34" s="220">
        <f t="shared" si="2"/>
        <v>-834.51487531145881</v>
      </c>
      <c r="J34" s="238">
        <f t="shared" si="3"/>
        <v>30.959873823760368</v>
      </c>
      <c r="L34" s="226">
        <f>SUM(L31:L33)</f>
        <v>-861.46960000000081</v>
      </c>
      <c r="M34" s="248">
        <f t="shared" si="4"/>
        <v>-0.25276088961018434</v>
      </c>
      <c r="N34" s="226">
        <f>SUM(N31:N33)</f>
        <v>-26.954724688542001</v>
      </c>
      <c r="O34" s="243">
        <f t="shared" si="5"/>
        <v>-5.6473934112540852E-3</v>
      </c>
      <c r="P34" s="220">
        <f t="shared" si="6"/>
        <v>-834.51487531145881</v>
      </c>
      <c r="Q34" s="237">
        <f>IF(N34=0,"-",-P34/N34)</f>
        <v>-30.959873823760368</v>
      </c>
    </row>
    <row r="35" spans="1:18" x14ac:dyDescent="0.25">
      <c r="A35" t="s">
        <v>248</v>
      </c>
      <c r="C35" s="13" t="s">
        <v>26</v>
      </c>
      <c r="E35" s="224">
        <f>-SUMIF('IN Act'!$A:$A,A35,'IN Act'!$P:$P)</f>
        <v>-50</v>
      </c>
      <c r="F35" s="244">
        <f t="shared" si="0"/>
        <v>-1.4670331350646854E-2</v>
      </c>
      <c r="G35" s="227">
        <f>-SUMIF('IN Bdg'!$A:$A,A35,'IN Bdg'!$P:$P)</f>
        <v>-42.100046901250813</v>
      </c>
      <c r="H35" s="239">
        <f t="shared" si="1"/>
        <v>-8.8205511364275839E-3</v>
      </c>
      <c r="I35" s="215">
        <f t="shared" si="2"/>
        <v>-7.8999530987491866</v>
      </c>
      <c r="J35" s="234">
        <f t="shared" si="3"/>
        <v>0.18764713296588928</v>
      </c>
      <c r="L35" s="224">
        <f>-SUMIF('IN Act'!$A:$A,$A35,'IN Act'!$Q:$Q)</f>
        <v>-50</v>
      </c>
      <c r="M35" s="244">
        <f t="shared" si="4"/>
        <v>-1.4670331350646854E-2</v>
      </c>
      <c r="N35" s="227">
        <f>-SUMIF('IN Bdg'!$A:$A,$A35,'IN Bdg'!$Q:$Q)</f>
        <v>-42.100046901250813</v>
      </c>
      <c r="O35" s="239">
        <f t="shared" si="5"/>
        <v>-8.8205511364275839E-3</v>
      </c>
      <c r="P35" s="215">
        <f t="shared" si="6"/>
        <v>-7.8999530987491866</v>
      </c>
      <c r="Q35" s="234">
        <f>IF(N35=0,"-",-P35/N35)</f>
        <v>-0.18764713296588928</v>
      </c>
    </row>
    <row r="36" spans="1:18" ht="13" thickBot="1" x14ac:dyDescent="0.3">
      <c r="A36" t="s">
        <v>345</v>
      </c>
      <c r="C36" s="13" t="s">
        <v>44</v>
      </c>
      <c r="E36" s="224">
        <f>-SUMIF('IN Act'!$A:$A,A36,'IN Act'!$P:$P)</f>
        <v>0</v>
      </c>
      <c r="F36" s="244">
        <f t="shared" si="0"/>
        <v>0</v>
      </c>
      <c r="G36" s="227">
        <f>-SUMIF('IN Bdg'!$A:$A,A36,'IN Bdg'!$P:$P)</f>
        <v>0</v>
      </c>
      <c r="H36" s="239">
        <f t="shared" si="1"/>
        <v>0</v>
      </c>
      <c r="I36" s="215">
        <f t="shared" si="2"/>
        <v>0</v>
      </c>
      <c r="J36" s="234" t="str">
        <f t="shared" si="3"/>
        <v>-</v>
      </c>
      <c r="L36" s="224">
        <f>-SUMIF('IN Act'!$A:$A,$A36,'IN Act'!$Q:$Q)</f>
        <v>0</v>
      </c>
      <c r="M36" s="244">
        <f t="shared" si="4"/>
        <v>0</v>
      </c>
      <c r="N36" s="227">
        <f>-SUMIF('IN Bdg'!$A:$A,$A36,'IN Bdg'!$Q:$Q)</f>
        <v>0</v>
      </c>
      <c r="O36" s="239">
        <f t="shared" si="5"/>
        <v>0</v>
      </c>
      <c r="P36" s="215">
        <f t="shared" si="6"/>
        <v>0</v>
      </c>
      <c r="Q36" s="234" t="str">
        <f>IF(N36=0,"-",P36/N36)</f>
        <v>-</v>
      </c>
    </row>
    <row r="37" spans="1:18" ht="13.5" thickBot="1" x14ac:dyDescent="0.35">
      <c r="C37" s="14" t="s">
        <v>27</v>
      </c>
      <c r="E37" s="226">
        <f>SUM(E34:E36)</f>
        <v>-911.46960000000081</v>
      </c>
      <c r="F37" s="248">
        <f t="shared" si="0"/>
        <v>-0.26743122096083116</v>
      </c>
      <c r="G37" s="226">
        <f>SUM(G34:G36)</f>
        <v>-69.054771589792807</v>
      </c>
      <c r="H37" s="243">
        <f t="shared" si="1"/>
        <v>-1.4467944547681667E-2</v>
      </c>
      <c r="I37" s="220">
        <f t="shared" si="2"/>
        <v>-842.41482841020797</v>
      </c>
      <c r="J37" s="238">
        <f t="shared" si="3"/>
        <v>12.199226918226863</v>
      </c>
      <c r="L37" s="226">
        <f>SUM(L34:L36)</f>
        <v>-911.46960000000081</v>
      </c>
      <c r="M37" s="248">
        <f t="shared" si="4"/>
        <v>-0.26743122096083116</v>
      </c>
      <c r="N37" s="226">
        <f>SUM(N34:N36)</f>
        <v>-69.054771589792807</v>
      </c>
      <c r="O37" s="243">
        <f t="shared" si="5"/>
        <v>-1.4467944547681667E-2</v>
      </c>
      <c r="P37" s="220">
        <f t="shared" si="6"/>
        <v>-842.41482841020797</v>
      </c>
      <c r="Q37" s="238">
        <f>IF(N37=0,"-",-P37/N37)</f>
        <v>-12.199226918226863</v>
      </c>
    </row>
    <row r="38" spans="1:18" ht="15.5" x14ac:dyDescent="0.35">
      <c r="C38" s="207" t="s">
        <v>349</v>
      </c>
      <c r="D38" s="203"/>
      <c r="E38" s="299"/>
      <c r="F38" s="232"/>
      <c r="G38" s="204"/>
      <c r="H38" s="232"/>
      <c r="I38" s="204"/>
      <c r="J38" s="232"/>
      <c r="K38" s="203"/>
      <c r="L38" s="204"/>
      <c r="M38" s="232"/>
      <c r="N38" s="204"/>
      <c r="O38" s="232"/>
      <c r="P38" s="204"/>
      <c r="Q38" s="232"/>
    </row>
    <row r="39" spans="1:18" ht="55.5" customHeight="1" thickBot="1" x14ac:dyDescent="0.3">
      <c r="E39" s="298"/>
      <c r="F39" s="213"/>
      <c r="G39" s="171"/>
      <c r="H39" s="213"/>
      <c r="J39" s="213"/>
      <c r="M39" s="213"/>
      <c r="O39" s="213"/>
      <c r="Q39" s="213"/>
    </row>
    <row r="40" spans="1:18" ht="13.5" thickBot="1" x14ac:dyDescent="0.35">
      <c r="C40" s="84"/>
      <c r="E40" s="209" t="str">
        <f>UPPER(Cov!$D$20)</f>
        <v>JANUARY 2025</v>
      </c>
      <c r="F40" s="75"/>
      <c r="G40" s="173"/>
      <c r="H40" s="75"/>
      <c r="I40" s="173"/>
      <c r="J40" s="76"/>
      <c r="L40" s="177" t="str">
        <f>"YTD "&amp;UPPER(Cov!$D$20)</f>
        <v>YTD JANUARY 2025</v>
      </c>
      <c r="M40" s="75"/>
      <c r="N40" s="173"/>
      <c r="O40" s="75"/>
      <c r="P40" s="173"/>
      <c r="Q40" s="76"/>
    </row>
    <row r="41" spans="1:18" ht="13.5" thickBot="1" x14ac:dyDescent="0.35">
      <c r="C41" s="85"/>
      <c r="E41" s="210"/>
      <c r="F41" s="78"/>
      <c r="G41" s="174"/>
      <c r="H41" s="78"/>
      <c r="I41" s="174"/>
      <c r="J41" s="78"/>
      <c r="L41" s="178"/>
      <c r="M41" s="78"/>
      <c r="N41" s="174"/>
      <c r="O41" s="78"/>
      <c r="P41" s="174"/>
      <c r="Q41" s="78"/>
    </row>
    <row r="42" spans="1:18" ht="13.5" thickBot="1" x14ac:dyDescent="0.35">
      <c r="C42" s="86" t="s">
        <v>20</v>
      </c>
      <c r="E42" s="211" t="s">
        <v>157</v>
      </c>
      <c r="F42" s="79"/>
      <c r="G42" s="175" t="s">
        <v>350</v>
      </c>
      <c r="H42" s="79"/>
      <c r="I42" s="175" t="s">
        <v>154</v>
      </c>
      <c r="J42" s="79"/>
      <c r="L42" s="179" t="s">
        <v>157</v>
      </c>
      <c r="M42" s="79"/>
      <c r="N42" s="175" t="s">
        <v>350</v>
      </c>
      <c r="O42" s="79"/>
      <c r="P42" s="175" t="s">
        <v>154</v>
      </c>
      <c r="Q42" s="79"/>
    </row>
    <row r="43" spans="1:18" ht="13.5" thickBot="1" x14ac:dyDescent="0.35">
      <c r="C43" s="16"/>
      <c r="E43" s="212" t="s">
        <v>155</v>
      </c>
      <c r="F43" s="81" t="s">
        <v>156</v>
      </c>
      <c r="G43" s="176" t="s">
        <v>155</v>
      </c>
      <c r="H43" s="81" t="s">
        <v>156</v>
      </c>
      <c r="I43" s="176" t="s">
        <v>155</v>
      </c>
      <c r="J43" s="81" t="s">
        <v>156</v>
      </c>
      <c r="L43" s="180" t="s">
        <v>155</v>
      </c>
      <c r="M43" s="81" t="s">
        <v>156</v>
      </c>
      <c r="N43" s="176" t="s">
        <v>155</v>
      </c>
      <c r="O43" s="81" t="s">
        <v>156</v>
      </c>
      <c r="P43" s="176" t="s">
        <v>155</v>
      </c>
      <c r="Q43" s="81" t="s">
        <v>156</v>
      </c>
    </row>
    <row r="44" spans="1:18" ht="13.5" thickBot="1" x14ac:dyDescent="0.35">
      <c r="C44" s="17"/>
      <c r="E44" s="298"/>
      <c r="F44" s="233"/>
      <c r="G44" s="171"/>
      <c r="H44" s="233"/>
      <c r="J44" s="233"/>
      <c r="M44" s="233"/>
      <c r="O44" s="233"/>
      <c r="Q44" s="233"/>
    </row>
    <row r="45" spans="1:18" ht="13.5" thickBot="1" x14ac:dyDescent="0.35">
      <c r="A45" t="s">
        <v>160</v>
      </c>
      <c r="C45" s="10" t="s">
        <v>21</v>
      </c>
      <c r="E45" s="223">
        <f>E13</f>
        <v>3408.2393099999999</v>
      </c>
      <c r="F45" s="196">
        <f>E45/E$45</f>
        <v>1</v>
      </c>
      <c r="G45" s="221">
        <f>-SUMIF('IN Py'!$A:$A,A45,'IN Py'!$P:$P)</f>
        <v>3920</v>
      </c>
      <c r="H45" s="196">
        <f>G45/G$45</f>
        <v>1</v>
      </c>
      <c r="I45" s="214">
        <f t="shared" ref="I45:I69" si="9">E45-G45</f>
        <v>-511.76069000000007</v>
      </c>
      <c r="J45" s="198">
        <f t="shared" ref="J45:J69" si="10">IF(G45=0,"-",I45/G45)</f>
        <v>-0.13055119642857144</v>
      </c>
      <c r="L45" s="223">
        <f>L13</f>
        <v>3408.2393099999999</v>
      </c>
      <c r="M45" s="196">
        <f t="shared" ref="M45:M69" si="11">L45/L$45</f>
        <v>1</v>
      </c>
      <c r="N45" s="221">
        <f>-SUMIF('IN Py'!$A:$A,$A45,'IN Py'!$Q:$Q)</f>
        <v>3920</v>
      </c>
      <c r="O45" s="196">
        <f t="shared" ref="O45:O69" si="12">N45/N$45</f>
        <v>1</v>
      </c>
      <c r="P45" s="214">
        <f t="shared" ref="P45:P69" si="13">L45-N45</f>
        <v>-511.76069000000007</v>
      </c>
      <c r="Q45" s="198">
        <f>IF(N45=0,"-",P45/N45)</f>
        <v>-0.13055119642857144</v>
      </c>
    </row>
    <row r="46" spans="1:18" x14ac:dyDescent="0.25">
      <c r="A46" t="s">
        <v>329</v>
      </c>
      <c r="C46" s="11" t="s">
        <v>22</v>
      </c>
      <c r="E46" s="224">
        <f t="shared" ref="E46:E69" si="14">E14</f>
        <v>-389.65796999999998</v>
      </c>
      <c r="F46" s="244">
        <f t="shared" ref="F46:H69" si="15">E46/E$45</f>
        <v>-0.11432823066640822</v>
      </c>
      <c r="G46" s="227">
        <f>-SUMIF('IN Py'!$A:$A,A46,'IN Py'!$P:$P)</f>
        <v>-908</v>
      </c>
      <c r="H46" s="244">
        <f t="shared" si="15"/>
        <v>-0.23163265306122449</v>
      </c>
      <c r="I46" s="215">
        <f t="shared" si="9"/>
        <v>518.34203000000002</v>
      </c>
      <c r="J46" s="234">
        <f t="shared" si="10"/>
        <v>-0.57086126651982383</v>
      </c>
      <c r="L46" s="224">
        <f t="shared" ref="L46:L69" si="16">L14</f>
        <v>-389.65796999999998</v>
      </c>
      <c r="M46" s="244">
        <f t="shared" si="11"/>
        <v>-0.11432823066640822</v>
      </c>
      <c r="N46" s="227">
        <f>-SUMIF('IN Py'!$A:$A,$A46,'IN Py'!$Q:$Q)</f>
        <v>-908</v>
      </c>
      <c r="O46" s="244">
        <f t="shared" si="12"/>
        <v>-0.23163265306122449</v>
      </c>
      <c r="P46" s="215">
        <f t="shared" si="13"/>
        <v>518.34203000000002</v>
      </c>
      <c r="Q46" s="234">
        <f>IF(N46=0,"-",-P46/N46)</f>
        <v>0.57086126651982383</v>
      </c>
    </row>
    <row r="47" spans="1:18" s="8" customFormat="1" ht="13" x14ac:dyDescent="0.3">
      <c r="C47" s="12" t="s">
        <v>23</v>
      </c>
      <c r="E47" s="222">
        <f t="shared" si="14"/>
        <v>3018.5813399999997</v>
      </c>
      <c r="F47" s="246">
        <f t="shared" si="15"/>
        <v>0.88567176933359171</v>
      </c>
      <c r="G47" s="229">
        <f>SUM(G45:G46)</f>
        <v>3012</v>
      </c>
      <c r="H47" s="246">
        <f t="shared" si="15"/>
        <v>0.76836734693877551</v>
      </c>
      <c r="I47" s="218">
        <f t="shared" si="9"/>
        <v>6.5813399999997273</v>
      </c>
      <c r="J47" s="236">
        <f t="shared" si="10"/>
        <v>2.1850398406373598E-3</v>
      </c>
      <c r="L47" s="222">
        <f t="shared" si="16"/>
        <v>3018.5813399999997</v>
      </c>
      <c r="M47" s="246">
        <f t="shared" si="11"/>
        <v>0.88567176933359171</v>
      </c>
      <c r="N47" s="229">
        <f>SUM(N45:N46)</f>
        <v>3012</v>
      </c>
      <c r="O47" s="246">
        <f t="shared" si="12"/>
        <v>0.76836734693877551</v>
      </c>
      <c r="P47" s="218">
        <f t="shared" si="13"/>
        <v>6.5813399999997273</v>
      </c>
      <c r="Q47" s="236">
        <f>IF(N47=0,"-",P47/N47)</f>
        <v>2.1850398406373598E-3</v>
      </c>
    </row>
    <row r="48" spans="1:18" x14ac:dyDescent="0.25">
      <c r="A48" t="s">
        <v>227</v>
      </c>
      <c r="C48" s="11" t="s">
        <v>24</v>
      </c>
      <c r="E48" s="224">
        <f t="shared" si="14"/>
        <v>-790.20686000000001</v>
      </c>
      <c r="F48" s="244">
        <f t="shared" si="15"/>
        <v>-0.23185192943508418</v>
      </c>
      <c r="G48" s="227">
        <f>-SUMIF('IN Py'!$A:$A,A48,'IN Py'!$P:$P)</f>
        <v>-626</v>
      </c>
      <c r="H48" s="244">
        <f t="shared" si="15"/>
        <v>-0.15969387755102041</v>
      </c>
      <c r="I48" s="215">
        <f t="shared" si="9"/>
        <v>-164.20686000000001</v>
      </c>
      <c r="J48" s="234">
        <f t="shared" si="10"/>
        <v>0.26231127795527159</v>
      </c>
      <c r="L48" s="224">
        <f t="shared" si="16"/>
        <v>-790.20686000000001</v>
      </c>
      <c r="M48" s="244">
        <f t="shared" si="11"/>
        <v>-0.23185192943508418</v>
      </c>
      <c r="N48" s="227">
        <f>-SUMIF('IN Py'!$A:$A,$A48,'IN Py'!$Q:$Q)</f>
        <v>-626</v>
      </c>
      <c r="O48" s="244">
        <f t="shared" si="12"/>
        <v>-0.15969387755102041</v>
      </c>
      <c r="P48" s="215">
        <f t="shared" si="13"/>
        <v>-164.20686000000001</v>
      </c>
      <c r="Q48" s="234">
        <f t="shared" ref="Q48:Q53" si="17">IF(N48=0,"-",-P48/N48)</f>
        <v>-0.26231127795527159</v>
      </c>
    </row>
    <row r="49" spans="1:18" ht="13" thickBot="1" x14ac:dyDescent="0.3">
      <c r="C49" s="18" t="s">
        <v>28</v>
      </c>
      <c r="E49" s="295">
        <f t="shared" si="14"/>
        <v>-431.16406000000018</v>
      </c>
      <c r="F49" s="245">
        <f t="shared" si="15"/>
        <v>-0.12650639253380366</v>
      </c>
      <c r="G49" s="294">
        <f>SUM(G50:G53)</f>
        <v>-604.79999999999995</v>
      </c>
      <c r="H49" s="245">
        <f t="shared" si="15"/>
        <v>-0.15428571428571428</v>
      </c>
      <c r="I49" s="216">
        <f t="shared" si="9"/>
        <v>173.63593999999978</v>
      </c>
      <c r="J49" s="235">
        <f t="shared" si="10"/>
        <v>-0.2870964616402113</v>
      </c>
      <c r="L49" s="295">
        <f t="shared" si="16"/>
        <v>-431.16406000000018</v>
      </c>
      <c r="M49" s="245">
        <f t="shared" si="11"/>
        <v>-0.12650639253380366</v>
      </c>
      <c r="N49" s="294">
        <f>SUM(N50:N53)</f>
        <v>-604.79999999999995</v>
      </c>
      <c r="O49" s="245">
        <f t="shared" si="12"/>
        <v>-0.15428571428571428</v>
      </c>
      <c r="P49" s="216">
        <f t="shared" si="13"/>
        <v>173.63593999999978</v>
      </c>
      <c r="Q49" s="235">
        <f t="shared" si="17"/>
        <v>0.2870964616402113</v>
      </c>
    </row>
    <row r="50" spans="1:18" ht="13.5" thickTop="1" x14ac:dyDescent="0.3">
      <c r="A50" t="s">
        <v>336</v>
      </c>
      <c r="C50" s="19" t="s">
        <v>29</v>
      </c>
      <c r="E50" s="225">
        <f t="shared" si="14"/>
        <v>-9.4088800000000017</v>
      </c>
      <c r="F50" s="244">
        <f t="shared" si="15"/>
        <v>-2.7606277447694838E-3</v>
      </c>
      <c r="G50" s="228">
        <f>-SUMIF('IN Py'!$A:$A,A50,'IN Py'!$P:$P)</f>
        <v>-39.4</v>
      </c>
      <c r="H50" s="244">
        <f t="shared" si="15"/>
        <v>-1.0051020408163264E-2</v>
      </c>
      <c r="I50" s="217">
        <f t="shared" si="9"/>
        <v>29.991119999999995</v>
      </c>
      <c r="J50" s="234">
        <f t="shared" si="10"/>
        <v>-0.76119593908629435</v>
      </c>
      <c r="L50" s="225">
        <f t="shared" si="16"/>
        <v>-9.4088800000000017</v>
      </c>
      <c r="M50" s="244">
        <f t="shared" si="11"/>
        <v>-2.7606277447694838E-3</v>
      </c>
      <c r="N50" s="228">
        <f>-SUMIF('IN Py'!$A:$A,$A50,'IN Py'!$Q:$Q)</f>
        <v>-39.4</v>
      </c>
      <c r="O50" s="244">
        <f t="shared" si="12"/>
        <v>-1.0051020408163264E-2</v>
      </c>
      <c r="P50" s="217">
        <f t="shared" si="13"/>
        <v>29.991119999999995</v>
      </c>
      <c r="Q50" s="234">
        <f t="shared" si="17"/>
        <v>0.76119593908629435</v>
      </c>
    </row>
    <row r="51" spans="1:18" ht="13" x14ac:dyDescent="0.3">
      <c r="A51" t="s">
        <v>335</v>
      </c>
      <c r="C51" s="19" t="s">
        <v>30</v>
      </c>
      <c r="E51" s="225">
        <f t="shared" si="14"/>
        <v>-7.764369999999996</v>
      </c>
      <c r="F51" s="244">
        <f t="shared" si="15"/>
        <v>-2.278117612580437E-3</v>
      </c>
      <c r="G51" s="228">
        <f>-SUMIF('IN Py'!$A:$A,A51,'IN Py'!$P:$P)</f>
        <v>-42.4</v>
      </c>
      <c r="H51" s="244">
        <f t="shared" si="15"/>
        <v>-1.0816326530612244E-2</v>
      </c>
      <c r="I51" s="217">
        <f t="shared" si="9"/>
        <v>34.635630000000006</v>
      </c>
      <c r="J51" s="234">
        <f t="shared" si="10"/>
        <v>-0.81687806603773605</v>
      </c>
      <c r="L51" s="225">
        <f t="shared" si="16"/>
        <v>-7.764369999999996</v>
      </c>
      <c r="M51" s="244">
        <f t="shared" si="11"/>
        <v>-2.278117612580437E-3</v>
      </c>
      <c r="N51" s="228">
        <f>-SUMIF('IN Py'!$A:$A,$A51,'IN Py'!$Q:$Q)</f>
        <v>-42.4</v>
      </c>
      <c r="O51" s="244">
        <f t="shared" si="12"/>
        <v>-1.0816326530612244E-2</v>
      </c>
      <c r="P51" s="217">
        <f t="shared" si="13"/>
        <v>34.635630000000006</v>
      </c>
      <c r="Q51" s="234">
        <f t="shared" si="17"/>
        <v>0.81687806603773605</v>
      </c>
    </row>
    <row r="52" spans="1:18" ht="13" x14ac:dyDescent="0.3">
      <c r="A52" t="s">
        <v>337</v>
      </c>
      <c r="C52" s="19" t="s">
        <v>31</v>
      </c>
      <c r="E52" s="225">
        <f t="shared" si="14"/>
        <v>-390.39614000000017</v>
      </c>
      <c r="F52" s="244">
        <f t="shared" si="15"/>
        <v>-0.11454481463627042</v>
      </c>
      <c r="G52" s="228">
        <f>-SUMIF('IN Py'!$A:$A,A52,'IN Py'!$P:$P)</f>
        <v>-430</v>
      </c>
      <c r="H52" s="244">
        <f t="shared" si="15"/>
        <v>-0.10969387755102041</v>
      </c>
      <c r="I52" s="217">
        <f t="shared" si="9"/>
        <v>39.603859999999827</v>
      </c>
      <c r="J52" s="234">
        <f t="shared" si="10"/>
        <v>-9.2101999999999601E-2</v>
      </c>
      <c r="L52" s="225">
        <f t="shared" si="16"/>
        <v>-390.39614000000017</v>
      </c>
      <c r="M52" s="244">
        <f t="shared" si="11"/>
        <v>-0.11454481463627042</v>
      </c>
      <c r="N52" s="228">
        <f>-SUMIF('IN Py'!$A:$A,$A52,'IN Py'!$Q:$Q)</f>
        <v>-430</v>
      </c>
      <c r="O52" s="244">
        <f t="shared" si="12"/>
        <v>-0.10969387755102041</v>
      </c>
      <c r="P52" s="217">
        <f t="shared" si="13"/>
        <v>39.603859999999827</v>
      </c>
      <c r="Q52" s="234">
        <f t="shared" si="17"/>
        <v>9.2101999999999601E-2</v>
      </c>
      <c r="R52" s="171"/>
    </row>
    <row r="53" spans="1:18" ht="13" x14ac:dyDescent="0.3">
      <c r="A53" t="s">
        <v>325</v>
      </c>
      <c r="B53" t="s">
        <v>346</v>
      </c>
      <c r="C53" s="19" t="s">
        <v>32</v>
      </c>
      <c r="E53" s="225">
        <f t="shared" si="14"/>
        <v>-23.594670000000004</v>
      </c>
      <c r="F53" s="244">
        <f t="shared" si="15"/>
        <v>-6.9228325401833376E-3</v>
      </c>
      <c r="G53" s="228">
        <f>-SUMIF('IN Py'!$A:$A,$A53,'IN Py'!$P:$P)-SUMIF('IN Py'!$A:$A,$B53,'IN Py'!$P:$P)</f>
        <v>-93</v>
      </c>
      <c r="H53" s="244">
        <f t="shared" si="15"/>
        <v>-2.3724489795918367E-2</v>
      </c>
      <c r="I53" s="217">
        <f t="shared" si="9"/>
        <v>69.405329999999992</v>
      </c>
      <c r="J53" s="234">
        <f t="shared" si="10"/>
        <v>-0.7462938709677418</v>
      </c>
      <c r="L53" s="225">
        <f t="shared" si="16"/>
        <v>-23.594670000000004</v>
      </c>
      <c r="M53" s="244">
        <f t="shared" si="11"/>
        <v>-6.9228325401833376E-3</v>
      </c>
      <c r="N53" s="228">
        <f>-SUMIF('IN Py'!$A:$A,$A53,'IN Py'!$Q:$Q)-SUMIF('IN Py'!$A:$A,$B53,'IN Py'!$Q:$Q)</f>
        <v>-93</v>
      </c>
      <c r="O53" s="244">
        <f t="shared" si="12"/>
        <v>-2.3724489795918367E-2</v>
      </c>
      <c r="P53" s="217">
        <f t="shared" si="13"/>
        <v>69.405329999999992</v>
      </c>
      <c r="Q53" s="234">
        <f t="shared" si="17"/>
        <v>0.7462938709677418</v>
      </c>
      <c r="R53" s="171"/>
    </row>
    <row r="54" spans="1:18" ht="13" x14ac:dyDescent="0.3">
      <c r="C54" s="12" t="s">
        <v>33</v>
      </c>
      <c r="E54" s="222">
        <f t="shared" si="14"/>
        <v>1797.2104199999994</v>
      </c>
      <c r="F54" s="246">
        <f t="shared" si="15"/>
        <v>0.52731344736470387</v>
      </c>
      <c r="G54" s="229">
        <f>SUM(G49,G48,G47)</f>
        <v>1781.2</v>
      </c>
      <c r="H54" s="246">
        <f t="shared" si="15"/>
        <v>0.45438775510204082</v>
      </c>
      <c r="I54" s="218">
        <f t="shared" si="9"/>
        <v>16.010419999999385</v>
      </c>
      <c r="J54" s="236">
        <f t="shared" si="10"/>
        <v>8.9885582753196636E-3</v>
      </c>
      <c r="L54" s="222">
        <f t="shared" si="16"/>
        <v>1797.2104199999994</v>
      </c>
      <c r="M54" s="246">
        <f t="shared" si="11"/>
        <v>0.52731344736470387</v>
      </c>
      <c r="N54" s="229">
        <f>SUM(N49,N48,N47)</f>
        <v>1781.2</v>
      </c>
      <c r="O54" s="246">
        <f t="shared" si="12"/>
        <v>0.45438775510204082</v>
      </c>
      <c r="P54" s="218">
        <f t="shared" si="13"/>
        <v>16.010419999999385</v>
      </c>
      <c r="Q54" s="236">
        <f>IF(N54=0,"-",P54/N54)</f>
        <v>8.9885582753196636E-3</v>
      </c>
    </row>
    <row r="55" spans="1:18" x14ac:dyDescent="0.25">
      <c r="A55" t="s">
        <v>333</v>
      </c>
      <c r="B55" t="s">
        <v>162</v>
      </c>
      <c r="C55" s="11" t="s">
        <v>25</v>
      </c>
      <c r="E55" s="224">
        <f t="shared" si="14"/>
        <v>-1096.4783900000002</v>
      </c>
      <c r="F55" s="244">
        <f t="shared" si="15"/>
        <v>-0.32171402600247584</v>
      </c>
      <c r="G55" s="227">
        <f>-SUMIF('IN Py'!$A:$A,A55,'IN Py'!$P:$P)-SUMIF('IN Py'!$A:$A,$B55,'IN Py'!$P:$P)</f>
        <v>-1305</v>
      </c>
      <c r="H55" s="244">
        <f t="shared" si="15"/>
        <v>-0.33290816326530615</v>
      </c>
      <c r="I55" s="215">
        <f t="shared" si="9"/>
        <v>208.52160999999978</v>
      </c>
      <c r="J55" s="234">
        <f t="shared" si="10"/>
        <v>-0.15978667432950175</v>
      </c>
      <c r="L55" s="224">
        <f t="shared" si="16"/>
        <v>-1096.4783900000002</v>
      </c>
      <c r="M55" s="244">
        <f t="shared" si="11"/>
        <v>-0.32171402600247584</v>
      </c>
      <c r="N55" s="227">
        <f>-SUMIF('IN Py'!$A:$A,$A55,'IN Py'!$Q:$Q)-SUMIF('IN Py'!$A:$A,$B55,'IN Py'!$Q:$Q)</f>
        <v>-1305</v>
      </c>
      <c r="O55" s="244">
        <f t="shared" si="12"/>
        <v>-0.33290816326530615</v>
      </c>
      <c r="P55" s="215">
        <f t="shared" si="13"/>
        <v>208.52160999999978</v>
      </c>
      <c r="Q55" s="234">
        <f>IF(N55=0,"-",-P55/N55)</f>
        <v>0.15978667432950175</v>
      </c>
    </row>
    <row r="56" spans="1:18" x14ac:dyDescent="0.25">
      <c r="A56" t="s">
        <v>334</v>
      </c>
      <c r="C56" s="11" t="s">
        <v>34</v>
      </c>
      <c r="E56" s="224">
        <f t="shared" si="14"/>
        <v>-103.20163000000001</v>
      </c>
      <c r="F56" s="244">
        <f t="shared" si="15"/>
        <v>-3.0280042160537139E-2</v>
      </c>
      <c r="G56" s="227">
        <f>-SUMIF('IN Py'!$A:$A,A56,'IN Py'!$P:$P)</f>
        <v>-147</v>
      </c>
      <c r="H56" s="244">
        <f t="shared" si="15"/>
        <v>-3.7499999999999999E-2</v>
      </c>
      <c r="I56" s="215">
        <f t="shared" si="9"/>
        <v>43.798369999999991</v>
      </c>
      <c r="J56" s="234">
        <f t="shared" si="10"/>
        <v>-0.29794809523809518</v>
      </c>
      <c r="L56" s="224">
        <f t="shared" si="16"/>
        <v>-103.20163000000001</v>
      </c>
      <c r="M56" s="244">
        <f t="shared" si="11"/>
        <v>-3.0280042160537139E-2</v>
      </c>
      <c r="N56" s="227">
        <f>-SUMIF('IN Py'!$A:$A,$A56,'IN Py'!$Q:$Q)</f>
        <v>-147</v>
      </c>
      <c r="O56" s="244">
        <f t="shared" si="12"/>
        <v>-3.7499999999999999E-2</v>
      </c>
      <c r="P56" s="215">
        <f t="shared" si="13"/>
        <v>43.798369999999991</v>
      </c>
      <c r="Q56" s="234">
        <f>IF(N56=0,"-",-P56/N56)</f>
        <v>0.29794809523809518</v>
      </c>
    </row>
    <row r="57" spans="1:18" ht="13" x14ac:dyDescent="0.3">
      <c r="C57" s="12" t="s">
        <v>35</v>
      </c>
      <c r="E57" s="222">
        <f t="shared" si="14"/>
        <v>597.53039999999919</v>
      </c>
      <c r="F57" s="246">
        <f t="shared" si="15"/>
        <v>0.17531937920169086</v>
      </c>
      <c r="G57" s="229">
        <f>SUM(G54:G56)</f>
        <v>329.20000000000005</v>
      </c>
      <c r="H57" s="246">
        <f t="shared" si="15"/>
        <v>8.3979591836734702E-2</v>
      </c>
      <c r="I57" s="218">
        <f t="shared" si="9"/>
        <v>268.33039999999914</v>
      </c>
      <c r="J57" s="236">
        <f t="shared" si="10"/>
        <v>0.81509842041311997</v>
      </c>
      <c r="L57" s="222">
        <f t="shared" si="16"/>
        <v>597.53039999999919</v>
      </c>
      <c r="M57" s="246">
        <f t="shared" si="11"/>
        <v>0.17531937920169086</v>
      </c>
      <c r="N57" s="229">
        <f>SUM(N54:N56)</f>
        <v>329.20000000000005</v>
      </c>
      <c r="O57" s="246">
        <f t="shared" si="12"/>
        <v>8.3979591836734702E-2</v>
      </c>
      <c r="P57" s="218">
        <f t="shared" si="13"/>
        <v>268.33039999999914</v>
      </c>
      <c r="Q57" s="236">
        <f>IF(N57=0,"-",P57/N57)</f>
        <v>0.81509842041311997</v>
      </c>
    </row>
    <row r="58" spans="1:18" x14ac:dyDescent="0.25">
      <c r="A58" t="s">
        <v>330</v>
      </c>
      <c r="B58" t="s">
        <v>347</v>
      </c>
      <c r="C58" s="13" t="s">
        <v>36</v>
      </c>
      <c r="E58" s="224">
        <f t="shared" si="14"/>
        <v>-1669</v>
      </c>
      <c r="F58" s="244">
        <f t="shared" si="15"/>
        <v>-0.48969566048459195</v>
      </c>
      <c r="G58" s="227">
        <f>-SUMIF('IN Py'!$A:$A,A58,'IN Py'!$P:$P)-SUMIF('IN Py'!$A:$A,$B58,'IN Py'!$P:$P)</f>
        <v>-545.4</v>
      </c>
      <c r="H58" s="244">
        <f t="shared" si="15"/>
        <v>-0.13913265306122449</v>
      </c>
      <c r="I58" s="215">
        <f t="shared" si="9"/>
        <v>-1123.5999999999999</v>
      </c>
      <c r="J58" s="234">
        <f t="shared" si="10"/>
        <v>2.06013934726806</v>
      </c>
      <c r="L58" s="224">
        <f t="shared" si="16"/>
        <v>-1669</v>
      </c>
      <c r="M58" s="244">
        <f t="shared" si="11"/>
        <v>-0.48969566048459195</v>
      </c>
      <c r="N58" s="227">
        <f>-SUMIF('IN Py'!$A:$A,$A58,'IN Py'!$Q:$Q)-SUMIF('IN Py'!$A:$A,$B58,'IN Py'!$Q:$Q)</f>
        <v>-545.4</v>
      </c>
      <c r="O58" s="244">
        <f t="shared" si="12"/>
        <v>-0.13913265306122449</v>
      </c>
      <c r="P58" s="215">
        <f t="shared" si="13"/>
        <v>-1123.5999999999999</v>
      </c>
      <c r="Q58" s="234">
        <f t="shared" ref="Q58:Q63" si="18">IF(N58=0,"-",-P58/N58)</f>
        <v>-2.06013934726806</v>
      </c>
    </row>
    <row r="59" spans="1:18" ht="13" thickBot="1" x14ac:dyDescent="0.3">
      <c r="A59" t="s">
        <v>338</v>
      </c>
      <c r="C59" s="13" t="s">
        <v>37</v>
      </c>
      <c r="E59" s="224">
        <f t="shared" si="14"/>
        <v>0</v>
      </c>
      <c r="F59" s="244">
        <f t="shared" si="15"/>
        <v>0</v>
      </c>
      <c r="G59" s="227">
        <f>-SUMIF('IN Py'!$A:$A,A59,'IN Py'!$P:$P)</f>
        <v>-68.400000000000006</v>
      </c>
      <c r="H59" s="244">
        <f t="shared" si="15"/>
        <v>-1.7448979591836736E-2</v>
      </c>
      <c r="I59" s="215">
        <f t="shared" si="9"/>
        <v>68.400000000000006</v>
      </c>
      <c r="J59" s="234">
        <f t="shared" si="10"/>
        <v>-1</v>
      </c>
      <c r="L59" s="224">
        <f t="shared" si="16"/>
        <v>0</v>
      </c>
      <c r="M59" s="244">
        <f t="shared" si="11"/>
        <v>0</v>
      </c>
      <c r="N59" s="227">
        <f>-SUMIF('IN Py'!$A:$A,$A59,'IN Py'!$Q:$Q)</f>
        <v>-68.400000000000006</v>
      </c>
      <c r="O59" s="244">
        <f t="shared" si="12"/>
        <v>-1.7448979591836736E-2</v>
      </c>
      <c r="P59" s="215">
        <f t="shared" si="13"/>
        <v>68.400000000000006</v>
      </c>
      <c r="Q59" s="234">
        <f t="shared" si="18"/>
        <v>1</v>
      </c>
    </row>
    <row r="60" spans="1:18" ht="13.5" thickBot="1" x14ac:dyDescent="0.35">
      <c r="C60" s="15" t="s">
        <v>348</v>
      </c>
      <c r="E60" s="226">
        <f t="shared" si="14"/>
        <v>-1071.4696000000008</v>
      </c>
      <c r="F60" s="247">
        <f t="shared" si="15"/>
        <v>-0.31437628128290113</v>
      </c>
      <c r="G60" s="230">
        <f>SUM(G57:G59)</f>
        <v>-284.59999999999991</v>
      </c>
      <c r="H60" s="247">
        <f t="shared" si="15"/>
        <v>-7.2602040816326513E-2</v>
      </c>
      <c r="I60" s="219">
        <f t="shared" si="9"/>
        <v>-786.8696000000009</v>
      </c>
      <c r="J60" s="237">
        <f t="shared" si="10"/>
        <v>2.7648264230498985</v>
      </c>
      <c r="L60" s="226">
        <f t="shared" si="16"/>
        <v>-1071.4696000000008</v>
      </c>
      <c r="M60" s="247">
        <f t="shared" si="11"/>
        <v>-0.31437628128290113</v>
      </c>
      <c r="N60" s="230">
        <f>SUM(N57:N59)</f>
        <v>-284.59999999999991</v>
      </c>
      <c r="O60" s="247">
        <f t="shared" si="12"/>
        <v>-7.2602040816326513E-2</v>
      </c>
      <c r="P60" s="219">
        <f t="shared" si="13"/>
        <v>-786.8696000000009</v>
      </c>
      <c r="Q60" s="237">
        <f t="shared" si="18"/>
        <v>-2.7648264230498985</v>
      </c>
    </row>
    <row r="61" spans="1:18" x14ac:dyDescent="0.25">
      <c r="A61" t="s">
        <v>331</v>
      </c>
      <c r="C61" s="11" t="s">
        <v>38</v>
      </c>
      <c r="E61" s="224">
        <f t="shared" si="14"/>
        <v>-360</v>
      </c>
      <c r="F61" s="244">
        <f t="shared" si="15"/>
        <v>-0.10562638572465735</v>
      </c>
      <c r="G61" s="227">
        <f>-SUMIF('IN Py'!$A:$A,A61,'IN Py'!$P:$P)</f>
        <v>-152</v>
      </c>
      <c r="H61" s="244">
        <f t="shared" si="15"/>
        <v>-3.8775510204081633E-2</v>
      </c>
      <c r="I61" s="215">
        <f t="shared" si="9"/>
        <v>-208</v>
      </c>
      <c r="J61" s="234">
        <f t="shared" si="10"/>
        <v>1.368421052631579</v>
      </c>
      <c r="L61" s="224">
        <f t="shared" si="16"/>
        <v>-360</v>
      </c>
      <c r="M61" s="244">
        <f t="shared" si="11"/>
        <v>-0.10562638572465735</v>
      </c>
      <c r="N61" s="227">
        <f>-SUMIF('IN Py'!$A:$A,$A61,'IN Py'!$Q:$Q)</f>
        <v>-152</v>
      </c>
      <c r="O61" s="244">
        <f t="shared" si="12"/>
        <v>-3.8775510204081633E-2</v>
      </c>
      <c r="P61" s="215">
        <f t="shared" si="13"/>
        <v>-208</v>
      </c>
      <c r="Q61" s="234">
        <f t="shared" si="18"/>
        <v>-1.368421052631579</v>
      </c>
    </row>
    <row r="62" spans="1:18" ht="13" thickBot="1" x14ac:dyDescent="0.3">
      <c r="A62" t="s">
        <v>332</v>
      </c>
      <c r="C62" s="11" t="s">
        <v>39</v>
      </c>
      <c r="E62" s="224">
        <f t="shared" si="14"/>
        <v>0</v>
      </c>
      <c r="F62" s="244">
        <f t="shared" si="15"/>
        <v>0</v>
      </c>
      <c r="G62" s="227">
        <f>-SUMIF('IN Py'!$A:$A,A62,'IN Py'!$P:$P)</f>
        <v>-24</v>
      </c>
      <c r="H62" s="244">
        <f t="shared" si="15"/>
        <v>-6.1224489795918364E-3</v>
      </c>
      <c r="I62" s="215">
        <f t="shared" si="9"/>
        <v>24</v>
      </c>
      <c r="J62" s="234">
        <f t="shared" si="10"/>
        <v>-1</v>
      </c>
      <c r="L62" s="224">
        <f t="shared" si="16"/>
        <v>0</v>
      </c>
      <c r="M62" s="244">
        <f t="shared" si="11"/>
        <v>0</v>
      </c>
      <c r="N62" s="227">
        <f>-SUMIF('IN Py'!$A:$A,$A62,'IN Py'!$Q:$Q)</f>
        <v>-24</v>
      </c>
      <c r="O62" s="244">
        <f t="shared" si="12"/>
        <v>-6.1224489795918364E-3</v>
      </c>
      <c r="P62" s="215">
        <f t="shared" si="13"/>
        <v>24</v>
      </c>
      <c r="Q62" s="234">
        <f t="shared" si="18"/>
        <v>1</v>
      </c>
    </row>
    <row r="63" spans="1:18" ht="13.5" thickBot="1" x14ac:dyDescent="0.35">
      <c r="C63" s="15" t="s">
        <v>40</v>
      </c>
      <c r="E63" s="226">
        <f t="shared" si="14"/>
        <v>-1431.4696000000008</v>
      </c>
      <c r="F63" s="247">
        <f t="shared" si="15"/>
        <v>-0.42000266700755845</v>
      </c>
      <c r="G63" s="226">
        <f>SUM(G60:G62)</f>
        <v>-460.59999999999991</v>
      </c>
      <c r="H63" s="247">
        <f t="shared" si="15"/>
        <v>-0.11749999999999998</v>
      </c>
      <c r="I63" s="219">
        <f t="shared" si="9"/>
        <v>-970.8696000000009</v>
      </c>
      <c r="J63" s="237">
        <f t="shared" si="10"/>
        <v>2.1078367346938798</v>
      </c>
      <c r="L63" s="226">
        <f t="shared" si="16"/>
        <v>-1431.4696000000008</v>
      </c>
      <c r="M63" s="247">
        <f t="shared" si="11"/>
        <v>-0.42000266700755845</v>
      </c>
      <c r="N63" s="226">
        <f>SUM(N60:N62)</f>
        <v>-460.59999999999991</v>
      </c>
      <c r="O63" s="247">
        <f t="shared" si="12"/>
        <v>-0.11749999999999998</v>
      </c>
      <c r="P63" s="219">
        <f t="shared" si="13"/>
        <v>-970.8696000000009</v>
      </c>
      <c r="Q63" s="237">
        <f t="shared" si="18"/>
        <v>-2.1078367346938798</v>
      </c>
    </row>
    <row r="64" spans="1:18" x14ac:dyDescent="0.25">
      <c r="A64" t="s">
        <v>234</v>
      </c>
      <c r="C64" s="13" t="s">
        <v>41</v>
      </c>
      <c r="E64" s="224">
        <f t="shared" si="14"/>
        <v>525</v>
      </c>
      <c r="F64" s="244">
        <f t="shared" si="15"/>
        <v>0.15403847918179198</v>
      </c>
      <c r="G64" s="227">
        <f>-SUMIF('IN Py'!$A:$A,A64,'IN Py'!$P:$P)</f>
        <v>327</v>
      </c>
      <c r="H64" s="244">
        <f t="shared" si="15"/>
        <v>8.3418367346938777E-2</v>
      </c>
      <c r="I64" s="215">
        <f t="shared" si="9"/>
        <v>198</v>
      </c>
      <c r="J64" s="234">
        <f t="shared" si="10"/>
        <v>0.60550458715596334</v>
      </c>
      <c r="L64" s="224">
        <f t="shared" si="16"/>
        <v>525</v>
      </c>
      <c r="M64" s="244">
        <f t="shared" si="11"/>
        <v>0.15403847918179198</v>
      </c>
      <c r="N64" s="227">
        <f>-SUMIF('IN Py'!$A:$A,$A64,'IN Py'!$Q:$Q)</f>
        <v>327</v>
      </c>
      <c r="O64" s="244">
        <f t="shared" si="12"/>
        <v>8.3418367346938777E-2</v>
      </c>
      <c r="P64" s="215">
        <f t="shared" si="13"/>
        <v>198</v>
      </c>
      <c r="Q64" s="234">
        <f>IF(N64=0,"-",P64/N64)</f>
        <v>0.60550458715596334</v>
      </c>
      <c r="R64" s="171"/>
    </row>
    <row r="65" spans="1:18" ht="13" thickBot="1" x14ac:dyDescent="0.3">
      <c r="A65" t="s">
        <v>238</v>
      </c>
      <c r="C65" s="13" t="s">
        <v>42</v>
      </c>
      <c r="E65" s="224">
        <f t="shared" si="14"/>
        <v>45</v>
      </c>
      <c r="F65" s="244">
        <f t="shared" si="15"/>
        <v>1.3203298215582169E-2</v>
      </c>
      <c r="G65" s="227">
        <f>-SUMIF('IN Py'!$A:$A,A65,'IN Py'!$P:$P)</f>
        <v>-10</v>
      </c>
      <c r="H65" s="244">
        <f t="shared" si="15"/>
        <v>-2.5510204081632651E-3</v>
      </c>
      <c r="I65" s="215">
        <f t="shared" si="9"/>
        <v>55</v>
      </c>
      <c r="J65" s="234">
        <f t="shared" si="10"/>
        <v>-5.5</v>
      </c>
      <c r="L65" s="224">
        <f t="shared" si="16"/>
        <v>45</v>
      </c>
      <c r="M65" s="244">
        <f t="shared" si="11"/>
        <v>1.3203298215582169E-2</v>
      </c>
      <c r="N65" s="227">
        <f>-SUMIF('IN Py'!$A:$A,$A65,'IN Py'!$Q:$Q)</f>
        <v>-10</v>
      </c>
      <c r="O65" s="244">
        <f t="shared" si="12"/>
        <v>-2.5510204081632651E-3</v>
      </c>
      <c r="P65" s="215">
        <f t="shared" si="13"/>
        <v>55</v>
      </c>
      <c r="Q65" s="234">
        <f>IF(N65=0,"-",-P65/N65)</f>
        <v>5.5</v>
      </c>
      <c r="R65" s="171"/>
    </row>
    <row r="66" spans="1:18" ht="13.5" thickBot="1" x14ac:dyDescent="0.35">
      <c r="C66" s="14" t="s">
        <v>43</v>
      </c>
      <c r="E66" s="226">
        <f t="shared" si="14"/>
        <v>-861.46960000000081</v>
      </c>
      <c r="F66" s="248">
        <f t="shared" si="15"/>
        <v>-0.25276088961018434</v>
      </c>
      <c r="G66" s="226">
        <f>SUM(G63:G65)</f>
        <v>-143.59999999999991</v>
      </c>
      <c r="H66" s="248">
        <f t="shared" si="15"/>
        <v>-3.6632653061224464E-2</v>
      </c>
      <c r="I66" s="220">
        <f t="shared" si="9"/>
        <v>-717.8696000000009</v>
      </c>
      <c r="J66" s="238">
        <f t="shared" si="10"/>
        <v>4.9990919220055803</v>
      </c>
      <c r="L66" s="226">
        <f t="shared" si="16"/>
        <v>-861.46960000000081</v>
      </c>
      <c r="M66" s="248">
        <f t="shared" si="11"/>
        <v>-0.25276088961018434</v>
      </c>
      <c r="N66" s="226">
        <f>SUM(N63:N65)</f>
        <v>-143.59999999999991</v>
      </c>
      <c r="O66" s="248">
        <f t="shared" si="12"/>
        <v>-3.6632653061224464E-2</v>
      </c>
      <c r="P66" s="220">
        <f t="shared" si="13"/>
        <v>-717.8696000000009</v>
      </c>
      <c r="Q66" s="237">
        <f>IF(N66=0,"-",-P66/N66)</f>
        <v>-4.9990919220055803</v>
      </c>
    </row>
    <row r="67" spans="1:18" x14ac:dyDescent="0.25">
      <c r="A67" t="s">
        <v>248</v>
      </c>
      <c r="C67" s="13" t="s">
        <v>26</v>
      </c>
      <c r="E67" s="224">
        <f t="shared" si="14"/>
        <v>-50</v>
      </c>
      <c r="F67" s="244">
        <f t="shared" si="15"/>
        <v>-1.4670331350646854E-2</v>
      </c>
      <c r="G67" s="227">
        <f>-SUMIF('IN Py'!$A:$A,A67,'IN Py'!$P:$P)</f>
        <v>-33</v>
      </c>
      <c r="H67" s="244">
        <f t="shared" si="15"/>
        <v>-8.4183673469387758E-3</v>
      </c>
      <c r="I67" s="215">
        <f t="shared" si="9"/>
        <v>-17</v>
      </c>
      <c r="J67" s="234">
        <f t="shared" si="10"/>
        <v>0.51515151515151514</v>
      </c>
      <c r="L67" s="224">
        <f t="shared" si="16"/>
        <v>-50</v>
      </c>
      <c r="M67" s="244">
        <f t="shared" si="11"/>
        <v>-1.4670331350646854E-2</v>
      </c>
      <c r="N67" s="227">
        <f>-SUMIF('IN Py'!$A:$A,$A67,'IN Py'!$Q:$Q)</f>
        <v>-33</v>
      </c>
      <c r="O67" s="244">
        <f t="shared" si="12"/>
        <v>-8.4183673469387758E-3</v>
      </c>
      <c r="P67" s="215">
        <f t="shared" si="13"/>
        <v>-17</v>
      </c>
      <c r="Q67" s="234">
        <f>IF(N67=0,"-",-P67/N67)</f>
        <v>-0.51515151515151514</v>
      </c>
    </row>
    <row r="68" spans="1:18" ht="13" thickBot="1" x14ac:dyDescent="0.3">
      <c r="A68" t="s">
        <v>345</v>
      </c>
      <c r="C68" s="13" t="s">
        <v>44</v>
      </c>
      <c r="E68" s="224">
        <f t="shared" si="14"/>
        <v>0</v>
      </c>
      <c r="F68" s="244">
        <f t="shared" si="15"/>
        <v>0</v>
      </c>
      <c r="G68" s="227">
        <f>-SUMIF('IN Py'!$A:$A,A68,'IN Py'!$P:$P)</f>
        <v>5</v>
      </c>
      <c r="H68" s="244">
        <f t="shared" si="15"/>
        <v>1.2755102040816326E-3</v>
      </c>
      <c r="I68" s="215">
        <f t="shared" si="9"/>
        <v>-5</v>
      </c>
      <c r="J68" s="234">
        <f t="shared" si="10"/>
        <v>-1</v>
      </c>
      <c r="L68" s="224">
        <f t="shared" si="16"/>
        <v>0</v>
      </c>
      <c r="M68" s="244">
        <f t="shared" si="11"/>
        <v>0</v>
      </c>
      <c r="N68" s="227">
        <f>-SUMIF('IN Py'!$A:$A,$A68,'IN Py'!$Q:$Q)</f>
        <v>5</v>
      </c>
      <c r="O68" s="244">
        <f t="shared" si="12"/>
        <v>1.2755102040816326E-3</v>
      </c>
      <c r="P68" s="215">
        <f t="shared" si="13"/>
        <v>-5</v>
      </c>
      <c r="Q68" s="234">
        <f>IF(N68=0,"-",P68/N68)</f>
        <v>-1</v>
      </c>
    </row>
    <row r="69" spans="1:18" ht="13.5" thickBot="1" x14ac:dyDescent="0.35">
      <c r="C69" s="14" t="s">
        <v>27</v>
      </c>
      <c r="E69" s="226">
        <f t="shared" si="14"/>
        <v>-911.46960000000081</v>
      </c>
      <c r="F69" s="248">
        <f t="shared" si="15"/>
        <v>-0.26743122096083116</v>
      </c>
      <c r="G69" s="226">
        <f>SUM(G66:G68)</f>
        <v>-171.59999999999991</v>
      </c>
      <c r="H69" s="248">
        <f t="shared" si="15"/>
        <v>-4.3775510204081609E-2</v>
      </c>
      <c r="I69" s="220">
        <f t="shared" si="9"/>
        <v>-739.8696000000009</v>
      </c>
      <c r="J69" s="238">
        <f t="shared" si="10"/>
        <v>4.3115944055944135</v>
      </c>
      <c r="L69" s="226">
        <f t="shared" si="16"/>
        <v>-911.46960000000081</v>
      </c>
      <c r="M69" s="248">
        <f t="shared" si="11"/>
        <v>-0.26743122096083116</v>
      </c>
      <c r="N69" s="226">
        <f>SUM(N66:N68)</f>
        <v>-171.59999999999991</v>
      </c>
      <c r="O69" s="248">
        <f t="shared" si="12"/>
        <v>-4.3775510204081609E-2</v>
      </c>
      <c r="P69" s="220">
        <f t="shared" si="13"/>
        <v>-739.8696000000009</v>
      </c>
      <c r="Q69" s="238">
        <f>IF(N69=0,"-",-P69/N69)</f>
        <v>-4.3115944055944135</v>
      </c>
    </row>
    <row r="70" spans="1:18" ht="15.5" x14ac:dyDescent="0.35">
      <c r="C70" s="207" t="s">
        <v>349</v>
      </c>
      <c r="D70" s="203"/>
      <c r="E70" s="299"/>
      <c r="F70" s="232"/>
      <c r="G70" s="204"/>
      <c r="H70" s="232"/>
      <c r="I70" s="204"/>
      <c r="J70" s="232"/>
      <c r="K70" s="203"/>
      <c r="L70" s="204"/>
      <c r="M70" s="232"/>
      <c r="N70" s="204"/>
      <c r="O70" s="232"/>
      <c r="P70" s="204"/>
      <c r="Q70" s="232"/>
    </row>
    <row r="71" spans="1:18" ht="47.25" customHeight="1" thickBot="1" x14ac:dyDescent="0.3">
      <c r="C71" s="395" t="s">
        <v>427</v>
      </c>
      <c r="D71" s="395"/>
      <c r="E71" s="395"/>
      <c r="F71" s="395"/>
      <c r="G71" s="395"/>
      <c r="H71" s="395"/>
      <c r="I71" s="395"/>
      <c r="J71" s="395"/>
      <c r="K71" s="395"/>
      <c r="L71" s="395"/>
      <c r="M71" s="395"/>
      <c r="N71" s="395"/>
      <c r="O71" s="395"/>
      <c r="P71" s="395"/>
      <c r="Q71" s="395"/>
    </row>
    <row r="72" spans="1:18" ht="13.5" thickBot="1" x14ac:dyDescent="0.35">
      <c r="C72" s="84"/>
      <c r="E72" s="209" t="s">
        <v>16</v>
      </c>
      <c r="F72" s="75"/>
      <c r="G72" s="173"/>
      <c r="H72" s="75"/>
      <c r="I72" s="173"/>
      <c r="J72" s="76"/>
      <c r="L72" s="177" t="s">
        <v>349</v>
      </c>
      <c r="M72" s="75"/>
      <c r="N72" s="173"/>
      <c r="O72" s="75"/>
      <c r="P72" s="173"/>
      <c r="Q72" s="76"/>
    </row>
    <row r="73" spans="1:18" ht="13.5" thickBot="1" x14ac:dyDescent="0.35">
      <c r="C73" s="85"/>
      <c r="E73" s="210"/>
      <c r="F73" s="78"/>
      <c r="G73" s="174"/>
      <c r="H73" s="78"/>
      <c r="I73" s="174"/>
      <c r="J73" s="78"/>
      <c r="L73" s="178"/>
      <c r="M73" s="78"/>
      <c r="N73" s="174"/>
      <c r="O73" s="78"/>
      <c r="P73" s="174"/>
      <c r="Q73" s="78"/>
    </row>
    <row r="74" spans="1:18" ht="13.5" thickBot="1" x14ac:dyDescent="0.35">
      <c r="C74" s="86" t="s">
        <v>20</v>
      </c>
      <c r="E74" s="211" t="s">
        <v>157</v>
      </c>
      <c r="F74" s="347"/>
      <c r="G74" s="348" t="s">
        <v>158</v>
      </c>
      <c r="H74" s="347"/>
      <c r="I74" s="348" t="s">
        <v>154</v>
      </c>
      <c r="J74" s="79"/>
      <c r="L74" s="211" t="s">
        <v>157</v>
      </c>
      <c r="M74" s="347"/>
      <c r="N74" s="348" t="s">
        <v>350</v>
      </c>
      <c r="O74" s="347"/>
      <c r="P74" s="348" t="s">
        <v>154</v>
      </c>
      <c r="Q74" s="79"/>
    </row>
    <row r="75" spans="1:18" ht="13.5" thickBot="1" x14ac:dyDescent="0.35">
      <c r="C75" s="16"/>
      <c r="E75" s="268" t="s">
        <v>155</v>
      </c>
      <c r="F75" s="345" t="s">
        <v>156</v>
      </c>
      <c r="G75" s="346" t="s">
        <v>155</v>
      </c>
      <c r="H75" s="345" t="s">
        <v>156</v>
      </c>
      <c r="I75" s="346" t="s">
        <v>155</v>
      </c>
      <c r="J75" s="81" t="s">
        <v>156</v>
      </c>
      <c r="L75" s="268" t="s">
        <v>155</v>
      </c>
      <c r="M75" s="345" t="s">
        <v>156</v>
      </c>
      <c r="N75" s="346" t="s">
        <v>155</v>
      </c>
      <c r="O75" s="345" t="s">
        <v>156</v>
      </c>
      <c r="P75" s="346" t="s">
        <v>155</v>
      </c>
      <c r="Q75" s="81" t="s">
        <v>156</v>
      </c>
    </row>
    <row r="76" spans="1:18" ht="13.5" thickBot="1" x14ac:dyDescent="0.35">
      <c r="C76" s="17"/>
      <c r="E76" s="298"/>
      <c r="F76" s="233"/>
      <c r="G76" s="171"/>
      <c r="H76" s="233"/>
      <c r="J76" s="233"/>
      <c r="M76" s="233"/>
      <c r="O76" s="233"/>
      <c r="Q76" s="233"/>
    </row>
    <row r="77" spans="1:18" ht="13.5" thickBot="1" x14ac:dyDescent="0.35">
      <c r="C77" s="10" t="s">
        <v>21</v>
      </c>
      <c r="E77" s="223">
        <f>L45</f>
        <v>3408.2393099999999</v>
      </c>
      <c r="F77" s="196">
        <v>1</v>
      </c>
      <c r="G77" s="221">
        <f t="shared" ref="G77:G101" si="19">N13</f>
        <v>4772.9497000911642</v>
      </c>
      <c r="H77" s="196">
        <v>1</v>
      </c>
      <c r="I77" s="354">
        <f>E77-G77</f>
        <v>-1364.7103900911643</v>
      </c>
      <c r="J77" s="198">
        <f>IF(G77=0,"-",I77/G77)</f>
        <v>-0.28592599458257395</v>
      </c>
      <c r="L77" s="223">
        <f>L45</f>
        <v>3408.2393099999999</v>
      </c>
      <c r="M77" s="196">
        <v>1</v>
      </c>
      <c r="N77" s="221">
        <f>N45</f>
        <v>3920</v>
      </c>
      <c r="O77" s="196">
        <v>1</v>
      </c>
      <c r="P77" s="354">
        <f t="shared" ref="P77:P101" si="20">L77-N77</f>
        <v>-511.76069000000007</v>
      </c>
      <c r="Q77" s="198">
        <f>IF(N77=0,"-",P77/N77)</f>
        <v>-0.13055119642857144</v>
      </c>
    </row>
    <row r="78" spans="1:18" x14ac:dyDescent="0.25">
      <c r="C78" s="11" t="s">
        <v>22</v>
      </c>
      <c r="E78" s="224">
        <f t="shared" ref="E78:E101" si="21">L46</f>
        <v>-389.65796999999998</v>
      </c>
      <c r="F78" s="239">
        <f>E78/E$77</f>
        <v>-0.11432823066640822</v>
      </c>
      <c r="G78" s="227">
        <f t="shared" si="19"/>
        <v>-1502.0420010238142</v>
      </c>
      <c r="H78" s="239">
        <f>G78/G$77</f>
        <v>-0.31469889594586026</v>
      </c>
      <c r="I78" s="355">
        <f t="shared" ref="I78:I101" si="22">E78-G78</f>
        <v>1112.3840310238143</v>
      </c>
      <c r="J78" s="234">
        <f>IF(G78=0,"-",-I78/G78)</f>
        <v>0.7405811756699191</v>
      </c>
      <c r="L78" s="224">
        <f t="shared" ref="L78:N101" si="23">L46</f>
        <v>-389.65796999999998</v>
      </c>
      <c r="M78" s="239">
        <f t="shared" ref="M78:M101" si="24">L78/L$77</f>
        <v>-0.11432823066640822</v>
      </c>
      <c r="N78" s="227">
        <f t="shared" si="23"/>
        <v>-908</v>
      </c>
      <c r="O78" s="239">
        <f t="shared" ref="O78:O101" si="25">N78/N$77</f>
        <v>-0.23163265306122449</v>
      </c>
      <c r="P78" s="355">
        <f t="shared" si="20"/>
        <v>518.34203000000002</v>
      </c>
      <c r="Q78" s="234">
        <f>IF(N78=0,"-",-P78/N78)</f>
        <v>0.57086126651982383</v>
      </c>
    </row>
    <row r="79" spans="1:18" ht="13" x14ac:dyDescent="0.3">
      <c r="C79" s="12" t="s">
        <v>23</v>
      </c>
      <c r="D79" s="8"/>
      <c r="E79" s="222">
        <f t="shared" si="21"/>
        <v>3018.5813399999997</v>
      </c>
      <c r="F79" s="241">
        <f t="shared" ref="F79:H101" si="26">E79/E$77</f>
        <v>0.88567176933359171</v>
      </c>
      <c r="G79" s="229">
        <f t="shared" si="19"/>
        <v>3270.9076990673502</v>
      </c>
      <c r="H79" s="241">
        <f t="shared" si="26"/>
        <v>0.6853011040541398</v>
      </c>
      <c r="I79" s="356">
        <f t="shared" si="22"/>
        <v>-252.3263590673505</v>
      </c>
      <c r="J79" s="236">
        <f>IF(G79=0,"-",I79/G79)</f>
        <v>-7.714261063963912E-2</v>
      </c>
      <c r="K79" s="8"/>
      <c r="L79" s="222">
        <f t="shared" si="23"/>
        <v>3018.5813399999997</v>
      </c>
      <c r="M79" s="241">
        <f t="shared" si="24"/>
        <v>0.88567176933359171</v>
      </c>
      <c r="N79" s="229">
        <f t="shared" si="23"/>
        <v>3012</v>
      </c>
      <c r="O79" s="241">
        <f t="shared" si="25"/>
        <v>0.76836734693877551</v>
      </c>
      <c r="P79" s="356">
        <f t="shared" si="20"/>
        <v>6.5813399999997273</v>
      </c>
      <c r="Q79" s="236">
        <f>IF(N79=0,"-",P79/N79)</f>
        <v>2.1850398406373598E-3</v>
      </c>
    </row>
    <row r="80" spans="1:18" s="5" customFormat="1" x14ac:dyDescent="0.25">
      <c r="C80" s="11" t="s">
        <v>24</v>
      </c>
      <c r="E80" s="224">
        <f t="shared" si="21"/>
        <v>-790.20686000000001</v>
      </c>
      <c r="F80" s="239">
        <f t="shared" si="26"/>
        <v>-0.23185192943508418</v>
      </c>
      <c r="G80" s="227">
        <f t="shared" si="19"/>
        <v>-428.25578061224485</v>
      </c>
      <c r="H80" s="239">
        <f t="shared" si="26"/>
        <v>-8.9725601047935852E-2</v>
      </c>
      <c r="I80" s="355">
        <f t="shared" si="22"/>
        <v>-361.95107938775516</v>
      </c>
      <c r="J80" s="234">
        <f t="shared" ref="J80:J85" si="27">IF(G80=0,"-",-I80/G80)</f>
        <v>-0.84517500002055113</v>
      </c>
      <c r="L80" s="224">
        <f t="shared" si="23"/>
        <v>-790.20686000000001</v>
      </c>
      <c r="M80" s="239">
        <f t="shared" si="24"/>
        <v>-0.23185192943508418</v>
      </c>
      <c r="N80" s="227">
        <f t="shared" si="23"/>
        <v>-626</v>
      </c>
      <c r="O80" s="239">
        <f t="shared" si="25"/>
        <v>-0.15969387755102041</v>
      </c>
      <c r="P80" s="355">
        <f t="shared" si="20"/>
        <v>-164.20686000000001</v>
      </c>
      <c r="Q80" s="234">
        <f t="shared" ref="Q80:Q85" si="28">IF(N80=0,"-",-P80/N80)</f>
        <v>-0.26231127795527159</v>
      </c>
    </row>
    <row r="81" spans="3:17" ht="13" thickBot="1" x14ac:dyDescent="0.3">
      <c r="C81" s="349" t="s">
        <v>28</v>
      </c>
      <c r="E81" s="350">
        <f t="shared" si="21"/>
        <v>-431.16406000000018</v>
      </c>
      <c r="F81" s="352">
        <f t="shared" si="26"/>
        <v>-0.12650639253380366</v>
      </c>
      <c r="G81" s="351">
        <f t="shared" si="19"/>
        <v>-663.55199792959604</v>
      </c>
      <c r="H81" s="352">
        <f t="shared" si="26"/>
        <v>-0.1390234633976809</v>
      </c>
      <c r="I81" s="357">
        <f t="shared" si="22"/>
        <v>232.38793792959586</v>
      </c>
      <c r="J81" s="353">
        <f t="shared" si="27"/>
        <v>0.35021812707171235</v>
      </c>
      <c r="L81" s="350">
        <f t="shared" si="23"/>
        <v>-431.16406000000018</v>
      </c>
      <c r="M81" s="352">
        <f t="shared" si="24"/>
        <v>-0.12650639253380366</v>
      </c>
      <c r="N81" s="351">
        <f t="shared" si="23"/>
        <v>-604.79999999999995</v>
      </c>
      <c r="O81" s="352">
        <f t="shared" si="25"/>
        <v>-0.15428571428571428</v>
      </c>
      <c r="P81" s="357">
        <f t="shared" si="20"/>
        <v>173.63593999999978</v>
      </c>
      <c r="Q81" s="353">
        <f t="shared" si="28"/>
        <v>0.2870964616402113</v>
      </c>
    </row>
    <row r="82" spans="3:17" ht="13.5" thickTop="1" x14ac:dyDescent="0.3">
      <c r="C82" s="19" t="s">
        <v>29</v>
      </c>
      <c r="E82" s="225">
        <f t="shared" si="21"/>
        <v>-9.4088800000000017</v>
      </c>
      <c r="F82" s="239">
        <f t="shared" si="26"/>
        <v>-2.7606277447694838E-3</v>
      </c>
      <c r="G82" s="228">
        <f t="shared" si="19"/>
        <v>2.9224669510622636</v>
      </c>
      <c r="H82" s="239">
        <f t="shared" si="26"/>
        <v>6.1229787336884018E-4</v>
      </c>
      <c r="I82" s="358">
        <f t="shared" si="22"/>
        <v>-12.331346951062265</v>
      </c>
      <c r="J82" s="234">
        <f t="shared" si="27"/>
        <v>4.2194991962458444</v>
      </c>
      <c r="L82" s="225">
        <f t="shared" si="23"/>
        <v>-9.4088800000000017</v>
      </c>
      <c r="M82" s="239">
        <f t="shared" si="24"/>
        <v>-2.7606277447694838E-3</v>
      </c>
      <c r="N82" s="228">
        <f t="shared" si="23"/>
        <v>-39.4</v>
      </c>
      <c r="O82" s="239">
        <f t="shared" si="25"/>
        <v>-1.0051020408163264E-2</v>
      </c>
      <c r="P82" s="358">
        <f t="shared" si="20"/>
        <v>29.991119999999995</v>
      </c>
      <c r="Q82" s="234">
        <f t="shared" si="28"/>
        <v>0.76119593908629435</v>
      </c>
    </row>
    <row r="83" spans="3:17" ht="13" x14ac:dyDescent="0.3">
      <c r="C83" s="19" t="s">
        <v>30</v>
      </c>
      <c r="E83" s="225">
        <f t="shared" si="21"/>
        <v>-7.764369999999996</v>
      </c>
      <c r="F83" s="239">
        <f t="shared" si="26"/>
        <v>-2.278117612580437E-3</v>
      </c>
      <c r="G83" s="228">
        <f t="shared" si="19"/>
        <v>-18.574768333333335</v>
      </c>
      <c r="H83" s="239">
        <f t="shared" si="26"/>
        <v>-3.8916748552742034E-3</v>
      </c>
      <c r="I83" s="358">
        <f t="shared" si="22"/>
        <v>10.810398333333339</v>
      </c>
      <c r="J83" s="234">
        <f t="shared" si="27"/>
        <v>0.58199370992603705</v>
      </c>
      <c r="L83" s="225">
        <f t="shared" si="23"/>
        <v>-7.764369999999996</v>
      </c>
      <c r="M83" s="239">
        <f t="shared" si="24"/>
        <v>-2.278117612580437E-3</v>
      </c>
      <c r="N83" s="228">
        <f t="shared" si="23"/>
        <v>-42.4</v>
      </c>
      <c r="O83" s="239">
        <f t="shared" si="25"/>
        <v>-1.0816326530612244E-2</v>
      </c>
      <c r="P83" s="358">
        <f t="shared" si="20"/>
        <v>34.635630000000006</v>
      </c>
      <c r="Q83" s="234">
        <f t="shared" si="28"/>
        <v>0.81687806603773605</v>
      </c>
    </row>
    <row r="84" spans="3:17" ht="13" x14ac:dyDescent="0.3">
      <c r="C84" s="19" t="s">
        <v>31</v>
      </c>
      <c r="E84" s="225">
        <f t="shared" si="21"/>
        <v>-390.39614000000017</v>
      </c>
      <c r="F84" s="239">
        <f t="shared" si="26"/>
        <v>-0.11454481463627042</v>
      </c>
      <c r="G84" s="228">
        <f t="shared" si="19"/>
        <v>-439.36723654732498</v>
      </c>
      <c r="H84" s="239">
        <f t="shared" si="26"/>
        <v>-9.2053607130813259E-2</v>
      </c>
      <c r="I84" s="358">
        <f t="shared" si="22"/>
        <v>48.971096547324805</v>
      </c>
      <c r="J84" s="234">
        <f t="shared" si="27"/>
        <v>0.11145823464706624</v>
      </c>
      <c r="L84" s="225">
        <f t="shared" si="23"/>
        <v>-390.39614000000017</v>
      </c>
      <c r="M84" s="239">
        <f t="shared" si="24"/>
        <v>-0.11454481463627042</v>
      </c>
      <c r="N84" s="228">
        <f t="shared" si="23"/>
        <v>-430</v>
      </c>
      <c r="O84" s="239">
        <f t="shared" si="25"/>
        <v>-0.10969387755102041</v>
      </c>
      <c r="P84" s="358">
        <f t="shared" si="20"/>
        <v>39.603859999999827</v>
      </c>
      <c r="Q84" s="234">
        <f t="shared" si="28"/>
        <v>9.2101999999999601E-2</v>
      </c>
    </row>
    <row r="85" spans="3:17" ht="13" x14ac:dyDescent="0.3">
      <c r="C85" s="19" t="s">
        <v>32</v>
      </c>
      <c r="E85" s="225">
        <f t="shared" si="21"/>
        <v>-23.594670000000004</v>
      </c>
      <c r="F85" s="239">
        <f t="shared" si="26"/>
        <v>-6.9228325401833376E-3</v>
      </c>
      <c r="G85" s="228">
        <f t="shared" si="19"/>
        <v>-208.53246000000001</v>
      </c>
      <c r="H85" s="239">
        <f t="shared" si="26"/>
        <v>-4.3690479284962294E-2</v>
      </c>
      <c r="I85" s="358">
        <f t="shared" si="22"/>
        <v>184.93779000000001</v>
      </c>
      <c r="J85" s="234">
        <f t="shared" si="27"/>
        <v>0.88685373010993107</v>
      </c>
      <c r="L85" s="225">
        <f t="shared" si="23"/>
        <v>-23.594670000000004</v>
      </c>
      <c r="M85" s="239">
        <f t="shared" si="24"/>
        <v>-6.9228325401833376E-3</v>
      </c>
      <c r="N85" s="228">
        <f t="shared" si="23"/>
        <v>-93</v>
      </c>
      <c r="O85" s="239">
        <f t="shared" si="25"/>
        <v>-2.3724489795918367E-2</v>
      </c>
      <c r="P85" s="358">
        <f t="shared" si="20"/>
        <v>69.405329999999992</v>
      </c>
      <c r="Q85" s="234">
        <f t="shared" si="28"/>
        <v>0.7462938709677418</v>
      </c>
    </row>
    <row r="86" spans="3:17" ht="13" x14ac:dyDescent="0.3">
      <c r="C86" s="12" t="s">
        <v>33</v>
      </c>
      <c r="E86" s="222">
        <f t="shared" si="21"/>
        <v>1797.2104199999994</v>
      </c>
      <c r="F86" s="241">
        <f t="shared" si="26"/>
        <v>0.52731344736470387</v>
      </c>
      <c r="G86" s="229">
        <f t="shared" si="19"/>
        <v>2179.0999205255093</v>
      </c>
      <c r="H86" s="241">
        <f t="shared" si="26"/>
        <v>0.45655203960852303</v>
      </c>
      <c r="I86" s="356">
        <f t="shared" si="22"/>
        <v>-381.8895005255099</v>
      </c>
      <c r="J86" s="236">
        <f>IF(G86=0,"-",I86/G86)</f>
        <v>-0.17525102769652429</v>
      </c>
      <c r="L86" s="222">
        <f t="shared" si="23"/>
        <v>1797.2104199999994</v>
      </c>
      <c r="M86" s="241">
        <f t="shared" si="24"/>
        <v>0.52731344736470387</v>
      </c>
      <c r="N86" s="229">
        <f t="shared" si="23"/>
        <v>1781.2</v>
      </c>
      <c r="O86" s="241">
        <f t="shared" si="25"/>
        <v>0.45438775510204082</v>
      </c>
      <c r="P86" s="356">
        <f t="shared" si="20"/>
        <v>16.010419999999385</v>
      </c>
      <c r="Q86" s="236">
        <f>IF(N86=0,"-",P86/N86)</f>
        <v>8.9885582753196636E-3</v>
      </c>
    </row>
    <row r="87" spans="3:17" x14ac:dyDescent="0.25">
      <c r="C87" s="11" t="s">
        <v>25</v>
      </c>
      <c r="E87" s="224">
        <f t="shared" si="21"/>
        <v>-1096.4783900000002</v>
      </c>
      <c r="F87" s="239">
        <f t="shared" si="26"/>
        <v>-0.32171402600247584</v>
      </c>
      <c r="G87" s="227">
        <f t="shared" si="19"/>
        <v>-1161.8311192272295</v>
      </c>
      <c r="H87" s="239">
        <f t="shared" si="26"/>
        <v>-0.2434199378227343</v>
      </c>
      <c r="I87" s="355">
        <f t="shared" si="22"/>
        <v>65.352729227229247</v>
      </c>
      <c r="J87" s="234">
        <f>IF(G87=0,"-",-I87/G87)</f>
        <v>5.6249766550148364E-2</v>
      </c>
      <c r="L87" s="224">
        <f t="shared" si="23"/>
        <v>-1096.4783900000002</v>
      </c>
      <c r="M87" s="239">
        <f t="shared" si="24"/>
        <v>-0.32171402600247584</v>
      </c>
      <c r="N87" s="227">
        <f t="shared" si="23"/>
        <v>-1305</v>
      </c>
      <c r="O87" s="239">
        <f t="shared" si="25"/>
        <v>-0.33290816326530615</v>
      </c>
      <c r="P87" s="355">
        <f t="shared" si="20"/>
        <v>208.52160999999978</v>
      </c>
      <c r="Q87" s="234">
        <f>IF(N87=0,"-",-P87/N87)</f>
        <v>0.15978667432950175</v>
      </c>
    </row>
    <row r="88" spans="3:17" x14ac:dyDescent="0.25">
      <c r="C88" s="11" t="s">
        <v>34</v>
      </c>
      <c r="E88" s="224">
        <f t="shared" si="21"/>
        <v>-103.20163000000001</v>
      </c>
      <c r="F88" s="239">
        <f t="shared" si="26"/>
        <v>-3.0280042160537139E-2</v>
      </c>
      <c r="G88" s="227">
        <f t="shared" si="19"/>
        <v>-145.93099089927318</v>
      </c>
      <c r="H88" s="239">
        <f t="shared" si="26"/>
        <v>-3.0574592247742706E-2</v>
      </c>
      <c r="I88" s="355">
        <f t="shared" si="22"/>
        <v>42.729360899273175</v>
      </c>
      <c r="J88" s="234">
        <f>IF(G88=0,"-",-I88/G88)</f>
        <v>0.29280525429150628</v>
      </c>
      <c r="L88" s="224">
        <f t="shared" si="23"/>
        <v>-103.20163000000001</v>
      </c>
      <c r="M88" s="239">
        <f t="shared" si="24"/>
        <v>-3.0280042160537139E-2</v>
      </c>
      <c r="N88" s="227">
        <f t="shared" si="23"/>
        <v>-147</v>
      </c>
      <c r="O88" s="239">
        <f t="shared" si="25"/>
        <v>-3.7499999999999999E-2</v>
      </c>
      <c r="P88" s="355">
        <f t="shared" si="20"/>
        <v>43.798369999999991</v>
      </c>
      <c r="Q88" s="234">
        <f>IF(N88=0,"-",-P88/N88)</f>
        <v>0.29794809523809518</v>
      </c>
    </row>
    <row r="89" spans="3:17" ht="13" x14ac:dyDescent="0.3">
      <c r="C89" s="12" t="s">
        <v>369</v>
      </c>
      <c r="E89" s="222">
        <f t="shared" si="21"/>
        <v>597.53039999999919</v>
      </c>
      <c r="F89" s="241">
        <f t="shared" si="26"/>
        <v>0.17531937920169086</v>
      </c>
      <c r="G89" s="229">
        <f t="shared" si="19"/>
        <v>871.33781039900668</v>
      </c>
      <c r="H89" s="241">
        <f t="shared" si="26"/>
        <v>0.18255750953804603</v>
      </c>
      <c r="I89" s="356">
        <f t="shared" si="22"/>
        <v>-273.80741039900749</v>
      </c>
      <c r="J89" s="236">
        <f>IF(G89=0,"-",I89/G89)</f>
        <v>-0.31423795355973871</v>
      </c>
      <c r="L89" s="222">
        <f t="shared" si="23"/>
        <v>597.53039999999919</v>
      </c>
      <c r="M89" s="241">
        <f t="shared" si="24"/>
        <v>0.17531937920169086</v>
      </c>
      <c r="N89" s="229">
        <f t="shared" si="23"/>
        <v>329.20000000000005</v>
      </c>
      <c r="O89" s="241">
        <f t="shared" si="25"/>
        <v>8.3979591836734702E-2</v>
      </c>
      <c r="P89" s="356">
        <f t="shared" si="20"/>
        <v>268.33039999999914</v>
      </c>
      <c r="Q89" s="236">
        <f>IF(N89=0,"-",P89/N89)</f>
        <v>0.81509842041311997</v>
      </c>
    </row>
    <row r="90" spans="3:17" x14ac:dyDescent="0.25">
      <c r="C90" s="13" t="s">
        <v>381</v>
      </c>
      <c r="E90" s="224">
        <f t="shared" si="21"/>
        <v>-1669</v>
      </c>
      <c r="F90" s="239">
        <f t="shared" si="26"/>
        <v>-0.48969566048459195</v>
      </c>
      <c r="G90" s="227">
        <f t="shared" si="19"/>
        <v>-718.18189420386466</v>
      </c>
      <c r="H90" s="239">
        <f t="shared" si="26"/>
        <v>-0.15046919396409045</v>
      </c>
      <c r="I90" s="355">
        <f t="shared" si="22"/>
        <v>-950.81810579613534</v>
      </c>
      <c r="J90" s="234">
        <f>IF(G90=0,"-",-I90/G90)</f>
        <v>-1.3239238046374837</v>
      </c>
      <c r="L90" s="224">
        <f t="shared" si="23"/>
        <v>-1669</v>
      </c>
      <c r="M90" s="239">
        <f t="shared" si="24"/>
        <v>-0.48969566048459195</v>
      </c>
      <c r="N90" s="227">
        <f t="shared" si="23"/>
        <v>-545.4</v>
      </c>
      <c r="O90" s="239">
        <f t="shared" si="25"/>
        <v>-0.13913265306122449</v>
      </c>
      <c r="P90" s="355">
        <f t="shared" si="20"/>
        <v>-1123.5999999999999</v>
      </c>
      <c r="Q90" s="234">
        <f t="shared" ref="Q90:Q95" si="29">IF(N90=0,"-",-P90/N90)</f>
        <v>-2.06013934726806</v>
      </c>
    </row>
    <row r="91" spans="3:17" ht="13" thickBot="1" x14ac:dyDescent="0.3">
      <c r="C91" s="13" t="s">
        <v>37</v>
      </c>
      <c r="E91" s="224">
        <f t="shared" si="21"/>
        <v>0</v>
      </c>
      <c r="F91" s="239">
        <f t="shared" si="26"/>
        <v>0</v>
      </c>
      <c r="G91" s="227">
        <f t="shared" si="19"/>
        <v>-67.67</v>
      </c>
      <c r="H91" s="239">
        <f t="shared" si="26"/>
        <v>-1.4177815449994684E-2</v>
      </c>
      <c r="I91" s="355">
        <f t="shared" si="22"/>
        <v>67.67</v>
      </c>
      <c r="J91" s="234">
        <f>IF(G91=0,"-",-I91/G91)</f>
        <v>1</v>
      </c>
      <c r="L91" s="224">
        <f t="shared" si="23"/>
        <v>0</v>
      </c>
      <c r="M91" s="239">
        <f t="shared" si="24"/>
        <v>0</v>
      </c>
      <c r="N91" s="227">
        <f t="shared" si="23"/>
        <v>-68.400000000000006</v>
      </c>
      <c r="O91" s="239">
        <f t="shared" si="25"/>
        <v>-1.7448979591836736E-2</v>
      </c>
      <c r="P91" s="355">
        <f t="shared" si="20"/>
        <v>68.400000000000006</v>
      </c>
      <c r="Q91" s="234">
        <f t="shared" si="29"/>
        <v>1</v>
      </c>
    </row>
    <row r="92" spans="3:17" ht="13.5" thickBot="1" x14ac:dyDescent="0.35">
      <c r="C92" s="15" t="s">
        <v>348</v>
      </c>
      <c r="E92" s="226">
        <f t="shared" si="21"/>
        <v>-1071.4696000000008</v>
      </c>
      <c r="F92" s="242">
        <f t="shared" si="26"/>
        <v>-0.31437628128290113</v>
      </c>
      <c r="G92" s="230">
        <f t="shared" si="19"/>
        <v>85.485916195142025</v>
      </c>
      <c r="H92" s="242">
        <f t="shared" si="26"/>
        <v>1.7910500123960917E-2</v>
      </c>
      <c r="I92" s="359">
        <f t="shared" si="22"/>
        <v>-1156.9555161951428</v>
      </c>
      <c r="J92" s="237">
        <f>IF(G92=0,"-",I92/G92)</f>
        <v>-13.533872802557505</v>
      </c>
      <c r="L92" s="226">
        <f t="shared" si="23"/>
        <v>-1071.4696000000008</v>
      </c>
      <c r="M92" s="242">
        <f t="shared" si="24"/>
        <v>-0.31437628128290113</v>
      </c>
      <c r="N92" s="230">
        <f t="shared" si="23"/>
        <v>-284.59999999999991</v>
      </c>
      <c r="O92" s="242">
        <f t="shared" si="25"/>
        <v>-7.2602040816326513E-2</v>
      </c>
      <c r="P92" s="359">
        <f t="shared" si="20"/>
        <v>-786.8696000000009</v>
      </c>
      <c r="Q92" s="237">
        <f t="shared" si="29"/>
        <v>-2.7648264230498985</v>
      </c>
    </row>
    <row r="93" spans="3:17" x14ac:dyDescent="0.25">
      <c r="C93" s="11" t="s">
        <v>38</v>
      </c>
      <c r="E93" s="224">
        <f t="shared" si="21"/>
        <v>-360</v>
      </c>
      <c r="F93" s="239">
        <f t="shared" si="26"/>
        <v>-0.10562638572465735</v>
      </c>
      <c r="G93" s="227">
        <f t="shared" si="19"/>
        <v>-151.98202499999999</v>
      </c>
      <c r="H93" s="239">
        <f t="shared" si="26"/>
        <v>-3.1842368880840521E-2</v>
      </c>
      <c r="I93" s="355">
        <f t="shared" si="22"/>
        <v>-208.01797500000001</v>
      </c>
      <c r="J93" s="234">
        <f>IF(G93=0,"-",-I93/G93)</f>
        <v>-1.3687011671281524</v>
      </c>
      <c r="L93" s="224">
        <f t="shared" si="23"/>
        <v>-360</v>
      </c>
      <c r="M93" s="239">
        <f t="shared" si="24"/>
        <v>-0.10562638572465735</v>
      </c>
      <c r="N93" s="227">
        <f t="shared" si="23"/>
        <v>-152</v>
      </c>
      <c r="O93" s="239">
        <f t="shared" si="25"/>
        <v>-3.8775510204081633E-2</v>
      </c>
      <c r="P93" s="355">
        <f t="shared" si="20"/>
        <v>-208</v>
      </c>
      <c r="Q93" s="234">
        <f t="shared" si="29"/>
        <v>-1.368421052631579</v>
      </c>
    </row>
    <row r="94" spans="3:17" ht="13" thickBot="1" x14ac:dyDescent="0.3">
      <c r="C94" s="11" t="s">
        <v>39</v>
      </c>
      <c r="E94" s="224">
        <f t="shared" si="21"/>
        <v>0</v>
      </c>
      <c r="F94" s="239">
        <f t="shared" si="26"/>
        <v>0</v>
      </c>
      <c r="G94" s="227">
        <f t="shared" si="19"/>
        <v>-43.14033666666667</v>
      </c>
      <c r="H94" s="239">
        <f t="shared" si="26"/>
        <v>-9.0385064535338979E-3</v>
      </c>
      <c r="I94" s="355">
        <f t="shared" si="22"/>
        <v>43.14033666666667</v>
      </c>
      <c r="J94" s="234">
        <f>IF(G94=0,"-",-I94/G94)</f>
        <v>1</v>
      </c>
      <c r="L94" s="224">
        <f t="shared" si="23"/>
        <v>0</v>
      </c>
      <c r="M94" s="239">
        <f t="shared" si="24"/>
        <v>0</v>
      </c>
      <c r="N94" s="227">
        <f t="shared" si="23"/>
        <v>-24</v>
      </c>
      <c r="O94" s="239">
        <f t="shared" si="25"/>
        <v>-6.1224489795918364E-3</v>
      </c>
      <c r="P94" s="355">
        <f t="shared" si="20"/>
        <v>24</v>
      </c>
      <c r="Q94" s="234">
        <f t="shared" si="29"/>
        <v>1</v>
      </c>
    </row>
    <row r="95" spans="3:17" ht="13.5" thickBot="1" x14ac:dyDescent="0.35">
      <c r="C95" s="14" t="s">
        <v>370</v>
      </c>
      <c r="E95" s="226">
        <f t="shared" si="21"/>
        <v>-1431.4696000000008</v>
      </c>
      <c r="F95" s="242">
        <f t="shared" si="26"/>
        <v>-0.42000266700755845</v>
      </c>
      <c r="G95" s="230">
        <f t="shared" si="19"/>
        <v>-109.63644547152464</v>
      </c>
      <c r="H95" s="242">
        <f t="shared" si="26"/>
        <v>-2.29703752104135E-2</v>
      </c>
      <c r="I95" s="359">
        <f t="shared" si="22"/>
        <v>-1321.8331545284761</v>
      </c>
      <c r="J95" s="237">
        <f>IF(G95=0,"-",-I95/G95)</f>
        <v>-12.056512310696808</v>
      </c>
      <c r="L95" s="226">
        <f t="shared" si="23"/>
        <v>-1431.4696000000008</v>
      </c>
      <c r="M95" s="242">
        <f t="shared" si="24"/>
        <v>-0.42000266700755845</v>
      </c>
      <c r="N95" s="230">
        <f t="shared" si="23"/>
        <v>-460.59999999999991</v>
      </c>
      <c r="O95" s="242">
        <f t="shared" si="25"/>
        <v>-0.11749999999999998</v>
      </c>
      <c r="P95" s="359">
        <f t="shared" si="20"/>
        <v>-970.8696000000009</v>
      </c>
      <c r="Q95" s="237">
        <f t="shared" si="29"/>
        <v>-2.1078367346938798</v>
      </c>
    </row>
    <row r="96" spans="3:17" x14ac:dyDescent="0.25">
      <c r="C96" s="13" t="s">
        <v>41</v>
      </c>
      <c r="E96" s="224">
        <f t="shared" si="21"/>
        <v>525</v>
      </c>
      <c r="F96" s="239">
        <f t="shared" si="26"/>
        <v>0.15403847918179198</v>
      </c>
      <c r="G96" s="227">
        <f t="shared" si="19"/>
        <v>158.28896538189406</v>
      </c>
      <c r="H96" s="239">
        <f t="shared" si="26"/>
        <v>3.3163761474140553E-2</v>
      </c>
      <c r="I96" s="355">
        <f t="shared" si="22"/>
        <v>366.71103461810594</v>
      </c>
      <c r="J96" s="234">
        <f>IF(G96=0,"-",I96/G96)</f>
        <v>2.3167188801402849</v>
      </c>
      <c r="L96" s="224">
        <f t="shared" si="23"/>
        <v>525</v>
      </c>
      <c r="M96" s="239">
        <f t="shared" si="24"/>
        <v>0.15403847918179198</v>
      </c>
      <c r="N96" s="227">
        <f t="shared" si="23"/>
        <v>327</v>
      </c>
      <c r="O96" s="239">
        <f t="shared" si="25"/>
        <v>8.3418367346938777E-2</v>
      </c>
      <c r="P96" s="355">
        <f t="shared" si="20"/>
        <v>198</v>
      </c>
      <c r="Q96" s="234">
        <f>IF(N96=0,"-",P96/N96)</f>
        <v>0.60550458715596334</v>
      </c>
    </row>
    <row r="97" spans="3:17" ht="13" thickBot="1" x14ac:dyDescent="0.3">
      <c r="C97" s="13" t="s">
        <v>42</v>
      </c>
      <c r="E97" s="224">
        <f t="shared" si="21"/>
        <v>45</v>
      </c>
      <c r="F97" s="239">
        <f t="shared" si="26"/>
        <v>1.3203298215582169E-2</v>
      </c>
      <c r="G97" s="227">
        <f t="shared" si="19"/>
        <v>-75.607244598911421</v>
      </c>
      <c r="H97" s="239">
        <f t="shared" si="26"/>
        <v>-1.5840779674981136E-2</v>
      </c>
      <c r="I97" s="355">
        <f t="shared" si="22"/>
        <v>120.60724459891142</v>
      </c>
      <c r="J97" s="234">
        <f>IF(G97=0,"-",-I97/G97)</f>
        <v>1.5951810602108347</v>
      </c>
      <c r="L97" s="224">
        <f t="shared" si="23"/>
        <v>45</v>
      </c>
      <c r="M97" s="239">
        <f t="shared" si="24"/>
        <v>1.3203298215582169E-2</v>
      </c>
      <c r="N97" s="227">
        <f t="shared" si="23"/>
        <v>-10</v>
      </c>
      <c r="O97" s="239">
        <f t="shared" si="25"/>
        <v>-2.5510204081632651E-3</v>
      </c>
      <c r="P97" s="355">
        <f t="shared" si="20"/>
        <v>55</v>
      </c>
      <c r="Q97" s="234">
        <f>IF(N97=0,"-",P97/N97)</f>
        <v>-5.5</v>
      </c>
    </row>
    <row r="98" spans="3:17" ht="13.5" thickBot="1" x14ac:dyDescent="0.35">
      <c r="C98" s="14" t="s">
        <v>371</v>
      </c>
      <c r="E98" s="226">
        <f t="shared" si="21"/>
        <v>-861.46960000000081</v>
      </c>
      <c r="F98" s="243">
        <f t="shared" si="26"/>
        <v>-0.25276088961018434</v>
      </c>
      <c r="G98" s="230">
        <f t="shared" si="19"/>
        <v>-26.954724688542001</v>
      </c>
      <c r="H98" s="243">
        <f t="shared" si="26"/>
        <v>-5.6473934112540852E-3</v>
      </c>
      <c r="I98" s="360">
        <f t="shared" si="22"/>
        <v>-834.51487531145881</v>
      </c>
      <c r="J98" s="238">
        <f>IF(G98=0,"-",-I98/G98)</f>
        <v>-30.959873823760368</v>
      </c>
      <c r="L98" s="226">
        <f t="shared" si="23"/>
        <v>-861.46960000000081</v>
      </c>
      <c r="M98" s="243">
        <f t="shared" si="24"/>
        <v>-0.25276088961018434</v>
      </c>
      <c r="N98" s="230">
        <f t="shared" si="23"/>
        <v>-143.59999999999991</v>
      </c>
      <c r="O98" s="243">
        <f t="shared" si="25"/>
        <v>-3.6632653061224464E-2</v>
      </c>
      <c r="P98" s="360">
        <f t="shared" si="20"/>
        <v>-717.8696000000009</v>
      </c>
      <c r="Q98" s="238">
        <f>IF(N98=0,"-",-P98/N98)</f>
        <v>-4.9990919220055803</v>
      </c>
    </row>
    <row r="99" spans="3:17" x14ac:dyDescent="0.25">
      <c r="C99" s="13" t="s">
        <v>26</v>
      </c>
      <c r="E99" s="224">
        <f t="shared" si="21"/>
        <v>-50</v>
      </c>
      <c r="F99" s="239">
        <f t="shared" si="26"/>
        <v>-1.4670331350646854E-2</v>
      </c>
      <c r="G99" s="227">
        <f t="shared" si="19"/>
        <v>-42.100046901250813</v>
      </c>
      <c r="H99" s="239">
        <f t="shared" si="26"/>
        <v>-8.8205511364275839E-3</v>
      </c>
      <c r="I99" s="355">
        <f t="shared" si="22"/>
        <v>-7.8999530987491866</v>
      </c>
      <c r="J99" s="234">
        <f>IF(G99=0,"-",-I99/G99)</f>
        <v>-0.18764713296588928</v>
      </c>
      <c r="L99" s="224">
        <f t="shared" si="23"/>
        <v>-50</v>
      </c>
      <c r="M99" s="239">
        <f t="shared" si="24"/>
        <v>-1.4670331350646854E-2</v>
      </c>
      <c r="N99" s="227">
        <f t="shared" si="23"/>
        <v>-33</v>
      </c>
      <c r="O99" s="239">
        <f t="shared" si="25"/>
        <v>-8.4183673469387758E-3</v>
      </c>
      <c r="P99" s="355">
        <f t="shared" si="20"/>
        <v>-17</v>
      </c>
      <c r="Q99" s="234">
        <f>IF(N99=0,"-",-P99/N99)</f>
        <v>-0.51515151515151514</v>
      </c>
    </row>
    <row r="100" spans="3:17" ht="13" thickBot="1" x14ac:dyDescent="0.3">
      <c r="C100" s="13" t="s">
        <v>44</v>
      </c>
      <c r="E100" s="224">
        <f t="shared" si="21"/>
        <v>0</v>
      </c>
      <c r="F100" s="239">
        <f t="shared" si="26"/>
        <v>0</v>
      </c>
      <c r="G100" s="227">
        <f t="shared" si="19"/>
        <v>0</v>
      </c>
      <c r="H100" s="239">
        <f t="shared" si="26"/>
        <v>0</v>
      </c>
      <c r="I100" s="355">
        <f t="shared" si="22"/>
        <v>0</v>
      </c>
      <c r="J100" s="234" t="str">
        <f>IF(G100=0,"-",I100/G100)</f>
        <v>-</v>
      </c>
      <c r="L100" s="224">
        <f t="shared" si="23"/>
        <v>0</v>
      </c>
      <c r="M100" s="239">
        <f t="shared" si="24"/>
        <v>0</v>
      </c>
      <c r="N100" s="227">
        <f t="shared" si="23"/>
        <v>5</v>
      </c>
      <c r="O100" s="239">
        <f t="shared" si="25"/>
        <v>1.2755102040816326E-3</v>
      </c>
      <c r="P100" s="355">
        <f t="shared" si="20"/>
        <v>-5</v>
      </c>
      <c r="Q100" s="234">
        <f>IF(N100=0,"-",P100/N100)</f>
        <v>-1</v>
      </c>
    </row>
    <row r="101" spans="3:17" ht="13.5" thickBot="1" x14ac:dyDescent="0.35">
      <c r="C101" s="14" t="s">
        <v>27</v>
      </c>
      <c r="E101" s="226">
        <f t="shared" si="21"/>
        <v>-911.46960000000081</v>
      </c>
      <c r="F101" s="243">
        <f t="shared" si="26"/>
        <v>-0.26743122096083116</v>
      </c>
      <c r="G101" s="230">
        <f t="shared" si="19"/>
        <v>-69.054771589792807</v>
      </c>
      <c r="H101" s="243">
        <f t="shared" si="26"/>
        <v>-1.4467944547681667E-2</v>
      </c>
      <c r="I101" s="360">
        <f t="shared" si="22"/>
        <v>-842.41482841020797</v>
      </c>
      <c r="J101" s="238">
        <f>IF(G101=0,"-",-I101/G101)</f>
        <v>-12.199226918226863</v>
      </c>
      <c r="L101" s="226">
        <f t="shared" si="23"/>
        <v>-911.46960000000081</v>
      </c>
      <c r="M101" s="243">
        <f t="shared" si="24"/>
        <v>-0.26743122096083116</v>
      </c>
      <c r="N101" s="230">
        <f t="shared" si="23"/>
        <v>-171.59999999999991</v>
      </c>
      <c r="O101" s="243">
        <f t="shared" si="25"/>
        <v>-4.3775510204081609E-2</v>
      </c>
      <c r="P101" s="360">
        <f t="shared" si="20"/>
        <v>-739.8696000000009</v>
      </c>
      <c r="Q101" s="238">
        <f>IF(N101=0,"-",-P101/N101)</f>
        <v>-4.3115944055944135</v>
      </c>
    </row>
  </sheetData>
  <sheetCalcPr fullCalcOnLoad="1"/>
  <phoneticPr fontId="24" type="noConversion"/>
  <printOptions horizontalCentered="1" verticalCentered="1"/>
  <pageMargins left="0.78740157480314965" right="0.78740157480314965" top="0.31496062992125984" bottom="0.27559055118110237" header="0.19685039370078741" footer="0.15748031496062992"/>
  <pageSetup paperSize="9" scale="76" fitToHeight="3" orientation="landscape" r:id="rId1"/>
  <headerFooter alignWithMargins="0">
    <oddFooter>&amp;LOp.Hop Inc&amp;C&amp;P</oddFooter>
  </headerFooter>
  <rowBreaks count="2" manualBreakCount="2">
    <brk id="37" min="2" max="16" man="1"/>
    <brk id="69" min="2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08"/>
  <sheetViews>
    <sheetView showGridLines="0" zoomScale="80" zoomScaleNormal="75" workbookViewId="0">
      <pane xSplit="3" ySplit="12" topLeftCell="D13" activePane="bottomRight" state="frozen"/>
      <selection activeCell="F7" sqref="F7"/>
      <selection pane="topRight" activeCell="F7" sqref="F7"/>
      <selection pane="bottomLeft" activeCell="F7" sqref="F7"/>
      <selection pane="bottomRight"/>
    </sheetView>
  </sheetViews>
  <sheetFormatPr defaultColWidth="7.81640625" defaultRowHeight="12.5" outlineLevelRow="1" outlineLevelCol="1" x14ac:dyDescent="0.25"/>
  <cols>
    <col min="1" max="2" width="9.1796875" style="213" customWidth="1" outlineLevel="1"/>
    <col min="3" max="3" width="45.453125" style="119" customWidth="1"/>
    <col min="4" max="4" width="9.7265625" style="213" customWidth="1"/>
    <col min="5" max="5" width="9" style="213" bestFit="1" customWidth="1"/>
    <col min="6" max="6" width="10.81640625" style="213" bestFit="1" customWidth="1"/>
    <col min="7" max="7" width="9" style="213" bestFit="1" customWidth="1"/>
    <col min="8" max="8" width="10.453125" style="213" bestFit="1" customWidth="1"/>
    <col min="9" max="9" width="9.26953125" style="213" bestFit="1" customWidth="1"/>
    <col min="10" max="10" width="2" style="213" customWidth="1"/>
    <col min="11" max="11" width="11.453125" style="213" bestFit="1" customWidth="1"/>
    <col min="12" max="12" width="9" style="213" bestFit="1" customWidth="1"/>
    <col min="13" max="13" width="11.453125" style="213" bestFit="1" customWidth="1"/>
    <col min="14" max="14" width="13.26953125" style="213" customWidth="1"/>
    <col min="15" max="15" width="9.81640625" style="213" bestFit="1" customWidth="1"/>
    <col min="16" max="16" width="9.54296875" style="213" bestFit="1" customWidth="1"/>
    <col min="17" max="17" width="1.7265625" style="213" customWidth="1"/>
    <col min="18" max="18" width="2" style="213" customWidth="1"/>
    <col min="19" max="19" width="11.453125" style="213" bestFit="1" customWidth="1"/>
    <col min="20" max="20" width="9" style="213" bestFit="1" customWidth="1"/>
    <col min="21" max="21" width="11.453125" style="213" bestFit="1" customWidth="1"/>
    <col min="22" max="22" width="9.26953125" style="213" bestFit="1" customWidth="1"/>
    <col min="23" max="23" width="9.81640625" style="213" bestFit="1" customWidth="1"/>
    <col min="24" max="24" width="9.54296875" style="213" bestFit="1" customWidth="1"/>
    <col min="25" max="25" width="1.7265625" style="213" customWidth="1"/>
    <col min="26" max="26" width="11.26953125" style="213" bestFit="1" customWidth="1"/>
    <col min="27" max="27" width="9.1796875" style="213" bestFit="1" customWidth="1"/>
    <col min="28" max="31" width="12" style="213" bestFit="1" customWidth="1"/>
    <col min="32" max="16384" width="7.81640625" style="213"/>
  </cols>
  <sheetData>
    <row r="1" spans="1:31" ht="13" x14ac:dyDescent="0.3">
      <c r="C1" s="8" t="str">
        <f>'P&amp;L'!C1</f>
        <v>Op.Hop Inc</v>
      </c>
    </row>
    <row r="2" spans="1:31" ht="13" x14ac:dyDescent="0.3">
      <c r="C2" s="9" t="str">
        <f>Month</f>
        <v>January 2025</v>
      </c>
    </row>
    <row r="3" spans="1:31" ht="13" x14ac:dyDescent="0.3">
      <c r="C3" s="8" t="str">
        <f>'P&amp;L'!C3</f>
        <v>EUR/1000</v>
      </c>
    </row>
    <row r="5" spans="1:31" ht="14" x14ac:dyDescent="0.3">
      <c r="C5" s="202" t="s">
        <v>344</v>
      </c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</row>
    <row r="6" spans="1:31" ht="15.5" x14ac:dyDescent="0.35">
      <c r="C6" s="207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</row>
    <row r="7" spans="1:31" ht="15.5" x14ac:dyDescent="0.35">
      <c r="C7" s="207" t="s">
        <v>16</v>
      </c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</row>
    <row r="8" spans="1:31" ht="56.25" customHeight="1" thickBot="1" x14ac:dyDescent="0.4">
      <c r="C8" s="207"/>
      <c r="D8" s="232"/>
      <c r="E8" s="232"/>
      <c r="F8" s="232"/>
      <c r="G8" s="232"/>
      <c r="H8" s="232"/>
      <c r="I8" s="232"/>
      <c r="J8" s="232"/>
      <c r="Q8" s="232"/>
      <c r="R8" s="232"/>
      <c r="Y8" s="232"/>
    </row>
    <row r="9" spans="1:31" ht="13.5" thickBot="1" x14ac:dyDescent="0.35">
      <c r="C9" s="84"/>
      <c r="D9" s="177" t="str">
        <f>UPPER(Cov!$D$20)</f>
        <v>JANUARY 2025</v>
      </c>
      <c r="E9" s="192"/>
      <c r="F9" s="75"/>
      <c r="G9" s="192"/>
      <c r="H9" s="173"/>
      <c r="I9" s="197"/>
      <c r="J9" s="192"/>
      <c r="K9" s="177"/>
      <c r="L9" s="192"/>
      <c r="M9" s="75"/>
      <c r="N9" s="192"/>
      <c r="O9" s="173"/>
      <c r="P9" s="197"/>
      <c r="Q9" s="192"/>
      <c r="R9" s="192"/>
      <c r="S9" s="177"/>
      <c r="T9" s="192"/>
      <c r="U9" s="75"/>
      <c r="V9" s="192"/>
      <c r="W9" s="173"/>
      <c r="X9" s="197"/>
      <c r="Y9" s="192"/>
      <c r="Z9" s="177"/>
      <c r="AA9" s="192"/>
      <c r="AB9" s="75"/>
      <c r="AC9" s="192"/>
      <c r="AD9" s="173"/>
      <c r="AE9" s="197"/>
    </row>
    <row r="10" spans="1:31" ht="13.5" thickBot="1" x14ac:dyDescent="0.35">
      <c r="C10" s="85"/>
      <c r="D10" s="178"/>
      <c r="E10" s="193"/>
      <c r="F10" s="78"/>
      <c r="G10" s="193"/>
      <c r="H10" s="174"/>
      <c r="I10" s="193"/>
      <c r="J10" s="193"/>
      <c r="K10" s="178"/>
      <c r="L10" s="193"/>
      <c r="M10" s="78"/>
      <c r="N10" s="193"/>
      <c r="O10" s="174"/>
      <c r="P10" s="193"/>
      <c r="Q10" s="193"/>
      <c r="R10" s="193"/>
      <c r="S10" s="178"/>
      <c r="T10" s="193"/>
      <c r="U10" s="78"/>
      <c r="V10" s="193"/>
      <c r="W10" s="174"/>
      <c r="X10" s="193"/>
      <c r="Y10" s="193"/>
      <c r="Z10" s="178"/>
      <c r="AA10" s="193"/>
      <c r="AB10" s="78"/>
      <c r="AC10" s="193"/>
      <c r="AD10" s="174"/>
      <c r="AE10" s="193"/>
    </row>
    <row r="11" spans="1:31" ht="13.5" thickBot="1" x14ac:dyDescent="0.35">
      <c r="C11" s="86" t="s">
        <v>20</v>
      </c>
      <c r="D11" s="179" t="s">
        <v>157</v>
      </c>
      <c r="E11" s="194"/>
      <c r="F11" s="80" t="s">
        <v>158</v>
      </c>
      <c r="G11" s="194"/>
      <c r="H11" s="175" t="s">
        <v>154</v>
      </c>
      <c r="I11" s="194"/>
      <c r="J11" s="303" t="s">
        <v>351</v>
      </c>
      <c r="K11" s="179" t="s">
        <v>157</v>
      </c>
      <c r="L11" s="194"/>
      <c r="M11" s="80" t="s">
        <v>477</v>
      </c>
      <c r="N11" s="194"/>
      <c r="O11" s="175" t="s">
        <v>154</v>
      </c>
      <c r="P11" s="194"/>
      <c r="Q11" s="303" t="s">
        <v>351</v>
      </c>
      <c r="R11" s="303" t="s">
        <v>351</v>
      </c>
      <c r="S11" s="179" t="s">
        <v>157</v>
      </c>
      <c r="T11" s="194"/>
      <c r="U11" s="80" t="s">
        <v>476</v>
      </c>
      <c r="V11" s="194"/>
      <c r="W11" s="175" t="s">
        <v>154</v>
      </c>
      <c r="X11" s="194"/>
      <c r="Y11" s="303" t="s">
        <v>351</v>
      </c>
      <c r="Z11" s="179" t="s">
        <v>157</v>
      </c>
      <c r="AA11" s="194"/>
      <c r="AB11" s="80" t="s">
        <v>382</v>
      </c>
      <c r="AC11" s="194"/>
      <c r="AD11" s="175" t="s">
        <v>154</v>
      </c>
      <c r="AE11" s="194"/>
    </row>
    <row r="12" spans="1:31" ht="13.5" thickBot="1" x14ac:dyDescent="0.35">
      <c r="C12" s="16"/>
      <c r="D12" s="180" t="s">
        <v>155</v>
      </c>
      <c r="E12" s="195" t="s">
        <v>156</v>
      </c>
      <c r="F12" s="82" t="s">
        <v>155</v>
      </c>
      <c r="G12" s="195" t="s">
        <v>156</v>
      </c>
      <c r="H12" s="176" t="s">
        <v>155</v>
      </c>
      <c r="I12" s="195" t="s">
        <v>156</v>
      </c>
      <c r="J12" s="300"/>
      <c r="K12" s="180" t="s">
        <v>155</v>
      </c>
      <c r="L12" s="195" t="s">
        <v>156</v>
      </c>
      <c r="M12" s="82" t="s">
        <v>155</v>
      </c>
      <c r="N12" s="195" t="s">
        <v>156</v>
      </c>
      <c r="O12" s="176" t="s">
        <v>155</v>
      </c>
      <c r="P12" s="195" t="s">
        <v>156</v>
      </c>
      <c r="Q12" s="300"/>
      <c r="R12" s="300"/>
      <c r="S12" s="180" t="s">
        <v>155</v>
      </c>
      <c r="T12" s="195" t="s">
        <v>156</v>
      </c>
      <c r="U12" s="82" t="s">
        <v>155</v>
      </c>
      <c r="V12" s="195" t="s">
        <v>156</v>
      </c>
      <c r="W12" s="176" t="s">
        <v>155</v>
      </c>
      <c r="X12" s="195" t="s">
        <v>156</v>
      </c>
      <c r="Y12" s="300"/>
      <c r="Z12" s="180" t="s">
        <v>155</v>
      </c>
      <c r="AA12" s="195" t="s">
        <v>156</v>
      </c>
      <c r="AB12" s="82" t="s">
        <v>155</v>
      </c>
      <c r="AC12" s="195" t="s">
        <v>156</v>
      </c>
      <c r="AD12" s="176" t="s">
        <v>155</v>
      </c>
      <c r="AE12" s="195" t="s">
        <v>156</v>
      </c>
    </row>
    <row r="13" spans="1:31" ht="13" thickBot="1" x14ac:dyDescent="0.3">
      <c r="D13" s="250"/>
      <c r="E13" s="279"/>
      <c r="G13" s="279"/>
      <c r="H13" s="250"/>
      <c r="I13" s="279"/>
      <c r="J13" s="279"/>
      <c r="K13" s="250"/>
      <c r="L13" s="279"/>
      <c r="N13" s="279"/>
      <c r="O13" s="250"/>
      <c r="P13" s="279"/>
      <c r="Q13" s="279"/>
      <c r="R13" s="279"/>
      <c r="S13" s="250"/>
      <c r="T13" s="279"/>
      <c r="V13" s="279"/>
      <c r="W13" s="250"/>
      <c r="X13" s="279"/>
      <c r="Y13" s="279"/>
      <c r="Z13" s="250"/>
      <c r="AA13" s="279"/>
      <c r="AC13" s="279"/>
      <c r="AD13" s="250"/>
      <c r="AE13" s="279"/>
    </row>
    <row r="14" spans="1:31" s="249" customFormat="1" ht="13" x14ac:dyDescent="0.3">
      <c r="A14" s="249" t="s">
        <v>250</v>
      </c>
      <c r="B14"/>
      <c r="C14" s="276" t="s">
        <v>45</v>
      </c>
      <c r="D14" s="273">
        <f>SUMIF('IN Act'!$A:$A,$A14,'IN Act'!$Q:$Q)</f>
        <v>945.5331000000001</v>
      </c>
      <c r="E14" s="285">
        <f>D14/D$45</f>
        <v>1.2284364882859746E-2</v>
      </c>
      <c r="F14" s="273">
        <f>SUMIF('IN Bdg'!$A:$A,$A14,'IN Bdg'!$Q:$Q)</f>
        <v>812.38105999999993</v>
      </c>
      <c r="G14" s="285">
        <f>F14/F$45</f>
        <v>1.0070859362850378E-2</v>
      </c>
      <c r="H14" s="258">
        <f>D14-F14</f>
        <v>133.15204000000017</v>
      </c>
      <c r="I14" s="280">
        <f>IF(F14=0,"-",H14/F14)</f>
        <v>0.16390342729063648</v>
      </c>
      <c r="J14" s="279"/>
      <c r="K14" s="273">
        <f>SUMIF('IN Act'!$A:$A,$A14,'IN Act'!$Q:$Q)</f>
        <v>945.5331000000001</v>
      </c>
      <c r="L14" s="285">
        <f>K14/K$45</f>
        <v>1.2284364882859746E-2</v>
      </c>
      <c r="M14" s="273">
        <f>SUMIF('IN Py'!$A:$A,$A14,'IN Py'!$Q:$Q)</f>
        <v>1256</v>
      </c>
      <c r="N14" s="285">
        <f>M14/M$45</f>
        <v>1.5339333911408019E-2</v>
      </c>
      <c r="O14" s="258">
        <f>K14-M14</f>
        <v>-310.4668999999999</v>
      </c>
      <c r="P14" s="280">
        <f>IF(M14=0,"-",O14/M14)</f>
        <v>-0.24718702229299355</v>
      </c>
      <c r="Q14" s="279"/>
      <c r="R14" s="279"/>
      <c r="S14" s="273">
        <f>SUMIF('IN Act'!$A:$A,$A14,'IN Act'!$Q:$Q)</f>
        <v>945.5331000000001</v>
      </c>
      <c r="T14" s="285">
        <f>S14/S$45</f>
        <v>1.2284364882859746E-2</v>
      </c>
      <c r="U14" s="273">
        <f>SUMIF('IN Py'!$A:$A,$A14,'IN Py'!$O:$O)</f>
        <v>812.38105999999993</v>
      </c>
      <c r="V14" s="285">
        <f>U14/U$45</f>
        <v>1.0043753230318917E-2</v>
      </c>
      <c r="W14" s="258">
        <f>S14-U14</f>
        <v>133.15204000000017</v>
      </c>
      <c r="X14" s="280">
        <f>IF(U14=0,"-",W14/U14)</f>
        <v>0.16390342729063648</v>
      </c>
      <c r="Y14" s="279"/>
      <c r="Z14" s="273">
        <f>SUMIF('IN Act'!$A:$A,$A14,'IN Act'!$Q:$Q)</f>
        <v>945.5331000000001</v>
      </c>
      <c r="AA14" s="285">
        <f>Z14/Z$45</f>
        <v>1.2284364882859746E-2</v>
      </c>
      <c r="AB14" s="258">
        <f>SUMIF('IN Py'!$A:$A,$A14,'IN Py'!$Q:$Q)</f>
        <v>1256</v>
      </c>
      <c r="AC14" s="285">
        <f>AB14/AB$45</f>
        <v>1.5339333911408019E-2</v>
      </c>
      <c r="AD14" s="258">
        <f>Z14-AB14</f>
        <v>-310.4668999999999</v>
      </c>
      <c r="AE14" s="280">
        <f>IF(AB14=0,"-",AD14/AB14)</f>
        <v>-0.24718702229299355</v>
      </c>
    </row>
    <row r="15" spans="1:31" s="249" customFormat="1" ht="25.5" customHeight="1" x14ac:dyDescent="0.3">
      <c r="B15"/>
      <c r="C15" s="293" t="s">
        <v>251</v>
      </c>
      <c r="D15" s="274"/>
      <c r="E15" s="286"/>
      <c r="F15" s="274"/>
      <c r="G15" s="286"/>
      <c r="H15" s="252"/>
      <c r="I15" s="281"/>
      <c r="J15" s="302"/>
      <c r="K15" s="274"/>
      <c r="L15" s="286"/>
      <c r="M15" s="274"/>
      <c r="N15" s="286"/>
      <c r="O15" s="387"/>
      <c r="P15" s="281"/>
      <c r="Q15" s="302"/>
      <c r="R15" s="302"/>
      <c r="S15" s="274"/>
      <c r="T15" s="286"/>
      <c r="U15" s="274"/>
      <c r="V15" s="286"/>
      <c r="W15" s="387"/>
      <c r="X15" s="281"/>
      <c r="Y15" s="302"/>
      <c r="Z15" s="274"/>
      <c r="AA15" s="286"/>
      <c r="AB15" s="252"/>
      <c r="AC15" s="286"/>
      <c r="AD15" s="252"/>
      <c r="AE15" s="281"/>
    </row>
    <row r="16" spans="1:31" s="249" customFormat="1" x14ac:dyDescent="0.25">
      <c r="A16" s="249" t="s">
        <v>252</v>
      </c>
      <c r="B16"/>
      <c r="C16" s="292" t="s">
        <v>253</v>
      </c>
      <c r="D16" s="275">
        <f>SUMIF('IN Act'!$A:$A,$A16,'IN Act'!$Q:$Q)</f>
        <v>22445.924170000013</v>
      </c>
      <c r="E16" s="287">
        <f t="shared" ref="E16:E22" si="0">D16/D$45</f>
        <v>0.29161741946133979</v>
      </c>
      <c r="F16" s="275">
        <f>SUMIF('IN Bdg'!$A:$A,$A16,'IN Bdg'!$Q:$Q)</f>
        <v>23860.686418000001</v>
      </c>
      <c r="G16" s="287">
        <f t="shared" ref="G16:G22" si="1">F16/F$45</f>
        <v>0.29579421412994561</v>
      </c>
      <c r="H16" s="251">
        <f t="shared" ref="H16:H22" si="2">D16-F16</f>
        <v>-1414.7622479999882</v>
      </c>
      <c r="I16" s="282">
        <f t="shared" ref="I16:I22" si="3">IF(F16=0,"-",H16/F16)</f>
        <v>-5.9292604714536679E-2</v>
      </c>
      <c r="J16" s="301"/>
      <c r="K16" s="275">
        <f>SUMIF('IN Act'!$A:$A,$A16,'IN Act'!$Q:$Q)</f>
        <v>22445.924170000013</v>
      </c>
      <c r="L16" s="287">
        <f t="shared" ref="L16:L22" si="4">K16/K$45</f>
        <v>0.29161741946133979</v>
      </c>
      <c r="M16" s="275">
        <f>SUMIF('IN Py'!$A:$A,$A16,'IN Py'!$Q:$Q)</f>
        <v>27002</v>
      </c>
      <c r="N16" s="287">
        <f t="shared" ref="N16:N22" si="5">M16/M$45</f>
        <v>0.32977125340433067</v>
      </c>
      <c r="O16" s="251">
        <f t="shared" ref="O16:O22" si="6">K16-M16</f>
        <v>-4556.075829999987</v>
      </c>
      <c r="P16" s="282">
        <f t="shared" ref="P16:P22" si="7">IF(M16=0,"-",O16/M16)</f>
        <v>-0.16873105066291338</v>
      </c>
      <c r="Q16" s="301"/>
      <c r="R16" s="301"/>
      <c r="S16" s="275">
        <f>SUMIF('IN Act'!$A:$A,$A16,'IN Act'!$Q:$Q)</f>
        <v>22445.924170000013</v>
      </c>
      <c r="T16" s="287">
        <f t="shared" ref="T16:T22" si="8">S16/S$45</f>
        <v>0.29161741946133979</v>
      </c>
      <c r="U16" s="275">
        <f>SUMIF('IN Py'!$A:$A,$A16,'IN Py'!$O:$O)</f>
        <v>23854.446960000001</v>
      </c>
      <c r="V16" s="287">
        <f t="shared" ref="V16:V22" si="9">U16/U$45</f>
        <v>0.29492093120926688</v>
      </c>
      <c r="W16" s="251">
        <f t="shared" ref="W16:W22" si="10">S16-U16</f>
        <v>-1408.5227899999882</v>
      </c>
      <c r="X16" s="282">
        <f t="shared" ref="X16:X22" si="11">IF(U16=0,"-",W16/U16)</f>
        <v>-5.9046549784275031E-2</v>
      </c>
      <c r="Y16" s="301"/>
      <c r="Z16" s="275">
        <f>SUMIF('IN Act'!$A:$A,$A16,'IN Act'!$Q:$Q)</f>
        <v>22445.924170000013</v>
      </c>
      <c r="AA16" s="287">
        <f t="shared" ref="AA16:AA22" si="12">Z16/Z$45</f>
        <v>0.29161741946133979</v>
      </c>
      <c r="AB16" s="251">
        <f>SUMIF('IN Py'!$A:$A,$A16,'IN Py'!$Q:$Q)</f>
        <v>27002</v>
      </c>
      <c r="AC16" s="287">
        <f t="shared" ref="AC16:AC22" si="13">AB16/AB$45</f>
        <v>0.32977125340433067</v>
      </c>
      <c r="AD16" s="251">
        <f t="shared" ref="AD16:AD22" si="14">Z16-AB16</f>
        <v>-4556.075829999987</v>
      </c>
      <c r="AE16" s="282">
        <f t="shared" ref="AE16:AE22" si="15">IF(AB16=0,"-",AD16/AB16)</f>
        <v>-0.16873105066291338</v>
      </c>
    </row>
    <row r="17" spans="1:31" s="249" customFormat="1" x14ac:dyDescent="0.25">
      <c r="A17" s="249" t="s">
        <v>254</v>
      </c>
      <c r="B17"/>
      <c r="C17" s="292" t="s">
        <v>255</v>
      </c>
      <c r="D17" s="275">
        <f>SUMIF('IN Act'!$A:$A,$A17,'IN Act'!$Q:$Q)</f>
        <v>-1740</v>
      </c>
      <c r="E17" s="287">
        <f t="shared" si="0"/>
        <v>-2.2606077879426912E-2</v>
      </c>
      <c r="F17" s="275">
        <f>SUMIF('IN Bdg'!$A:$A,$A17,'IN Bdg'!$Q:$Q)</f>
        <v>-2063.2759799999999</v>
      </c>
      <c r="G17" s="287">
        <f t="shared" si="1"/>
        <v>-2.5577851632000492E-2</v>
      </c>
      <c r="H17" s="251">
        <f t="shared" si="2"/>
        <v>323.27597999999989</v>
      </c>
      <c r="I17" s="282">
        <f t="shared" si="3"/>
        <v>-0.1566809206008398</v>
      </c>
      <c r="J17" s="301"/>
      <c r="K17" s="275">
        <f>SUMIF('IN Act'!$A:$A,$A17,'IN Act'!$Q:$Q)</f>
        <v>-1740</v>
      </c>
      <c r="L17" s="287">
        <f t="shared" si="4"/>
        <v>-2.2606077879426912E-2</v>
      </c>
      <c r="M17" s="275">
        <f>SUMIF('IN Py'!$A:$A,$A17,'IN Py'!$Q:$Q)</f>
        <v>-1420</v>
      </c>
      <c r="N17" s="287">
        <f t="shared" si="5"/>
        <v>-1.7342240568630086E-2</v>
      </c>
      <c r="O17" s="251">
        <f t="shared" si="6"/>
        <v>-320</v>
      </c>
      <c r="P17" s="282">
        <f t="shared" si="7"/>
        <v>0.22535211267605634</v>
      </c>
      <c r="Q17" s="301"/>
      <c r="R17" s="301"/>
      <c r="S17" s="275">
        <f>SUMIF('IN Act'!$A:$A,$A17,'IN Act'!$Q:$Q)</f>
        <v>-1740</v>
      </c>
      <c r="T17" s="287">
        <f t="shared" si="8"/>
        <v>-2.2606077879426912E-2</v>
      </c>
      <c r="U17" s="275">
        <f>SUMIF('IN Py'!$A:$A,$A17,'IN Py'!$O:$O)</f>
        <v>-1995.6059799999998</v>
      </c>
      <c r="V17" s="287">
        <f t="shared" si="9"/>
        <v>-2.4672379742665035E-2</v>
      </c>
      <c r="W17" s="251">
        <f t="shared" si="10"/>
        <v>255.60597999999982</v>
      </c>
      <c r="X17" s="282">
        <f t="shared" si="11"/>
        <v>-0.12808439269158725</v>
      </c>
      <c r="Y17" s="301"/>
      <c r="Z17" s="275">
        <f>SUMIF('IN Act'!$A:$A,$A17,'IN Act'!$Q:$Q)</f>
        <v>-1740</v>
      </c>
      <c r="AA17" s="287">
        <f t="shared" si="12"/>
        <v>-2.2606077879426912E-2</v>
      </c>
      <c r="AB17" s="251">
        <f>SUMIF('IN Py'!$A:$A,$A17,'IN Py'!$Q:$Q)</f>
        <v>-1420</v>
      </c>
      <c r="AC17" s="287">
        <f t="shared" si="13"/>
        <v>-1.7342240568630086E-2</v>
      </c>
      <c r="AD17" s="251">
        <f t="shared" si="14"/>
        <v>-320</v>
      </c>
      <c r="AE17" s="282">
        <f t="shared" si="15"/>
        <v>0.22535211267605634</v>
      </c>
    </row>
    <row r="18" spans="1:31" s="249" customFormat="1" ht="13" x14ac:dyDescent="0.3">
      <c r="A18" s="386"/>
      <c r="B18" s="8"/>
      <c r="C18" s="311" t="s">
        <v>356</v>
      </c>
      <c r="D18" s="312">
        <f>SUM(D16:D17)</f>
        <v>20705.924170000013</v>
      </c>
      <c r="E18" s="313">
        <f t="shared" si="0"/>
        <v>0.26901134158191287</v>
      </c>
      <c r="F18" s="312">
        <f>SUM(F16:F17)</f>
        <v>21797.410438000003</v>
      </c>
      <c r="G18" s="313">
        <f t="shared" si="1"/>
        <v>0.27021636249794512</v>
      </c>
      <c r="H18" s="314">
        <f>D18-F18</f>
        <v>-1091.4862679999896</v>
      </c>
      <c r="I18" s="315">
        <f>IF(F18=0,"-",H18/F18)</f>
        <v>-5.0074125598753363E-2</v>
      </c>
      <c r="J18" s="300"/>
      <c r="K18" s="312">
        <f>SUM(K16:K17)</f>
        <v>20705.924170000013</v>
      </c>
      <c r="L18" s="313">
        <f t="shared" si="4"/>
        <v>0.26901134158191287</v>
      </c>
      <c r="M18" s="312">
        <f>SUM(M16:M17)</f>
        <v>25582</v>
      </c>
      <c r="N18" s="313">
        <f t="shared" si="5"/>
        <v>0.31242901283570057</v>
      </c>
      <c r="O18" s="314">
        <f t="shared" si="6"/>
        <v>-4876.075829999987</v>
      </c>
      <c r="P18" s="315">
        <f t="shared" si="7"/>
        <v>-0.19060573176452142</v>
      </c>
      <c r="Q18" s="300"/>
      <c r="R18" s="300"/>
      <c r="S18" s="312">
        <f>SUM(S16:S17)</f>
        <v>20705.924170000013</v>
      </c>
      <c r="T18" s="313">
        <f t="shared" si="8"/>
        <v>0.26901134158191287</v>
      </c>
      <c r="U18" s="312">
        <f>SUM(U16:U17)</f>
        <v>21858.840980000001</v>
      </c>
      <c r="V18" s="313">
        <f t="shared" si="9"/>
        <v>0.27024855146660187</v>
      </c>
      <c r="W18" s="314">
        <f>S18-U18</f>
        <v>-1152.9168099999879</v>
      </c>
      <c r="X18" s="315">
        <f>IF(U18=0,"-",W18/U18)</f>
        <v>-5.2743730148129192E-2</v>
      </c>
      <c r="Y18" s="300"/>
      <c r="Z18" s="312">
        <f>SUM(Z16:Z17)</f>
        <v>20705.924170000013</v>
      </c>
      <c r="AA18" s="313">
        <f t="shared" si="12"/>
        <v>0.26901134158191287</v>
      </c>
      <c r="AB18" s="314">
        <f>SUM(AB16:AB17)</f>
        <v>25582</v>
      </c>
      <c r="AC18" s="313">
        <f t="shared" si="13"/>
        <v>0.31242901283570057</v>
      </c>
      <c r="AD18" s="314">
        <f t="shared" si="14"/>
        <v>-4876.075829999987</v>
      </c>
      <c r="AE18" s="315">
        <f t="shared" si="15"/>
        <v>-0.19060573176452142</v>
      </c>
    </row>
    <row r="19" spans="1:31" s="249" customFormat="1" x14ac:dyDescent="0.25">
      <c r="A19" s="249" t="s">
        <v>256</v>
      </c>
      <c r="B19"/>
      <c r="C19" s="292" t="s">
        <v>257</v>
      </c>
      <c r="D19" s="275">
        <f>SUMIF('IN Act'!$A:$A,$A19,'IN Act'!$Q:$Q)</f>
        <v>3064</v>
      </c>
      <c r="E19" s="287">
        <f t="shared" si="0"/>
        <v>3.9807484265841415E-2</v>
      </c>
      <c r="F19" s="275">
        <f>SUMIF('IN Bdg'!$A:$A,$A19,'IN Bdg'!$Q:$Q)</f>
        <v>4355.4149556109178</v>
      </c>
      <c r="G19" s="287">
        <f t="shared" si="1"/>
        <v>5.3992853408981224E-2</v>
      </c>
      <c r="H19" s="251">
        <f t="shared" si="2"/>
        <v>-1291.4149556109178</v>
      </c>
      <c r="I19" s="282">
        <f t="shared" si="3"/>
        <v>-0.29650790309824243</v>
      </c>
      <c r="J19" s="301"/>
      <c r="K19" s="275">
        <f>SUMIF('IN Act'!$A:$A,$A19,'IN Act'!$Q:$Q)</f>
        <v>3064</v>
      </c>
      <c r="L19" s="287">
        <f t="shared" si="4"/>
        <v>3.9807484265841415E-2</v>
      </c>
      <c r="M19" s="275">
        <f>SUMIF('IN Py'!$A:$A,$A19,'IN Py'!$Q:$Q)</f>
        <v>5135</v>
      </c>
      <c r="N19" s="287">
        <f t="shared" si="5"/>
        <v>6.2712961492898234E-2</v>
      </c>
      <c r="O19" s="251">
        <f t="shared" si="6"/>
        <v>-2071</v>
      </c>
      <c r="P19" s="282">
        <f t="shared" si="7"/>
        <v>-0.40331061343719571</v>
      </c>
      <c r="Q19" s="301"/>
      <c r="R19" s="301"/>
      <c r="S19" s="275">
        <f>SUMIF('IN Act'!$A:$A,$A19,'IN Act'!$Q:$Q)</f>
        <v>3064</v>
      </c>
      <c r="T19" s="287">
        <f t="shared" si="8"/>
        <v>3.9807484265841415E-2</v>
      </c>
      <c r="U19" s="275">
        <f>SUMIF('IN Py'!$A:$A,$A19,'IN Py'!$O:$O)</f>
        <v>4520.517049600001</v>
      </c>
      <c r="V19" s="287">
        <f t="shared" si="9"/>
        <v>5.5888744771612174E-2</v>
      </c>
      <c r="W19" s="251">
        <f t="shared" si="10"/>
        <v>-1456.517049600001</v>
      </c>
      <c r="X19" s="282">
        <f t="shared" si="11"/>
        <v>-0.32220142820363462</v>
      </c>
      <c r="Y19" s="301"/>
      <c r="Z19" s="275">
        <f>SUMIF('IN Act'!$A:$A,$A19,'IN Act'!$Q:$Q)</f>
        <v>3064</v>
      </c>
      <c r="AA19" s="287">
        <f t="shared" si="12"/>
        <v>3.9807484265841415E-2</v>
      </c>
      <c r="AB19" s="251">
        <f>SUMIF('IN Py'!$A:$A,$A19,'IN Py'!$Q:$Q)</f>
        <v>5135</v>
      </c>
      <c r="AC19" s="287">
        <f t="shared" si="13"/>
        <v>6.2712961492898234E-2</v>
      </c>
      <c r="AD19" s="251">
        <f t="shared" si="14"/>
        <v>-2071</v>
      </c>
      <c r="AE19" s="282">
        <f t="shared" si="15"/>
        <v>-0.40331061343719571</v>
      </c>
    </row>
    <row r="20" spans="1:31" s="249" customFormat="1" x14ac:dyDescent="0.25">
      <c r="A20" s="249" t="s">
        <v>258</v>
      </c>
      <c r="B20"/>
      <c r="C20" s="292" t="s">
        <v>259</v>
      </c>
      <c r="D20" s="275">
        <f>SUMIF('IN Act'!$A:$A,$A20,'IN Act'!$Q:$Q)</f>
        <v>439.99846000000002</v>
      </c>
      <c r="E20" s="287">
        <f t="shared" si="0"/>
        <v>5.716459456085005E-3</v>
      </c>
      <c r="F20" s="275">
        <f>SUMIF('IN Bdg'!$A:$A,$A20,'IN Bdg'!$Q:$Q)</f>
        <v>460</v>
      </c>
      <c r="G20" s="287">
        <f t="shared" si="1"/>
        <v>5.7024905367823002E-3</v>
      </c>
      <c r="H20" s="251">
        <f t="shared" si="2"/>
        <v>-20.001539999999977</v>
      </c>
      <c r="I20" s="282">
        <f t="shared" si="3"/>
        <v>-4.3481608695652124E-2</v>
      </c>
      <c r="J20" s="301"/>
      <c r="K20" s="275">
        <f>SUMIF('IN Act'!$A:$A,$A20,'IN Act'!$Q:$Q)</f>
        <v>439.99846000000002</v>
      </c>
      <c r="L20" s="287">
        <f t="shared" si="4"/>
        <v>5.716459456085005E-3</v>
      </c>
      <c r="M20" s="275">
        <f>SUMIF('IN Py'!$A:$A,$A20,'IN Py'!$Q:$Q)</f>
        <v>780</v>
      </c>
      <c r="N20" s="287">
        <f t="shared" si="5"/>
        <v>9.5260194672756801E-3</v>
      </c>
      <c r="O20" s="251">
        <f t="shared" si="6"/>
        <v>-340.00153999999998</v>
      </c>
      <c r="P20" s="282">
        <f t="shared" si="7"/>
        <v>-0.43589941025641021</v>
      </c>
      <c r="Q20" s="301"/>
      <c r="R20" s="301"/>
      <c r="S20" s="275">
        <f>SUMIF('IN Act'!$A:$A,$A20,'IN Act'!$Q:$Q)</f>
        <v>439.99846000000002</v>
      </c>
      <c r="T20" s="287">
        <f t="shared" si="8"/>
        <v>5.716459456085005E-3</v>
      </c>
      <c r="U20" s="275">
        <f>SUMIF('IN Py'!$A:$A,$A20,'IN Py'!$O:$O)</f>
        <v>539.61105000000009</v>
      </c>
      <c r="V20" s="287">
        <f t="shared" si="9"/>
        <v>6.6714015052902441E-3</v>
      </c>
      <c r="W20" s="251">
        <f t="shared" si="10"/>
        <v>-99.612590000000068</v>
      </c>
      <c r="X20" s="282">
        <f t="shared" si="11"/>
        <v>-0.18460072305783962</v>
      </c>
      <c r="Y20" s="301"/>
      <c r="Z20" s="275">
        <f>SUMIF('IN Act'!$A:$A,$A20,'IN Act'!$Q:$Q)</f>
        <v>439.99846000000002</v>
      </c>
      <c r="AA20" s="287">
        <f t="shared" si="12"/>
        <v>5.716459456085005E-3</v>
      </c>
      <c r="AB20" s="251">
        <f>SUMIF('IN Py'!$A:$A,$A20,'IN Py'!$Q:$Q)</f>
        <v>780</v>
      </c>
      <c r="AC20" s="287">
        <f t="shared" si="13"/>
        <v>9.5260194672756801E-3</v>
      </c>
      <c r="AD20" s="251">
        <f t="shared" si="14"/>
        <v>-340.00153999999998</v>
      </c>
      <c r="AE20" s="282">
        <f t="shared" si="15"/>
        <v>-0.43589941025641021</v>
      </c>
    </row>
    <row r="21" spans="1:31" s="249" customFormat="1" x14ac:dyDescent="0.25">
      <c r="A21" s="249" t="s">
        <v>260</v>
      </c>
      <c r="B21"/>
      <c r="C21" s="292" t="s">
        <v>261</v>
      </c>
      <c r="D21" s="275">
        <f>SUMIF('IN Act'!$A:$A,$A21,'IN Act'!$Q:$Q)</f>
        <v>2925.2716700000001</v>
      </c>
      <c r="E21" s="287">
        <f t="shared" si="0"/>
        <v>3.8005125971552429E-2</v>
      </c>
      <c r="F21" s="275">
        <f>SUMIF('IN Bdg'!$A:$A,$A21,'IN Bdg'!$Q:$Q)</f>
        <v>2300.6981949583032</v>
      </c>
      <c r="G21" s="287">
        <f t="shared" si="1"/>
        <v>2.8521108010308358E-2</v>
      </c>
      <c r="H21" s="251">
        <f t="shared" si="2"/>
        <v>624.57347504169684</v>
      </c>
      <c r="I21" s="282">
        <f t="shared" si="3"/>
        <v>0.27147127615885158</v>
      </c>
      <c r="J21" s="301"/>
      <c r="K21" s="275">
        <f>SUMIF('IN Act'!$A:$A,$A21,'IN Act'!$Q:$Q)</f>
        <v>2925.2716700000001</v>
      </c>
      <c r="L21" s="287">
        <f t="shared" si="4"/>
        <v>3.8005125971552429E-2</v>
      </c>
      <c r="M21" s="275">
        <f>SUMIF('IN Py'!$A:$A,$A21,'IN Py'!$Q:$Q)</f>
        <v>0</v>
      </c>
      <c r="N21" s="287">
        <f t="shared" si="5"/>
        <v>0</v>
      </c>
      <c r="O21" s="251">
        <f t="shared" si="6"/>
        <v>2925.2716700000001</v>
      </c>
      <c r="P21" s="282" t="str">
        <f t="shared" si="7"/>
        <v>-</v>
      </c>
      <c r="Q21" s="301"/>
      <c r="R21" s="301"/>
      <c r="S21" s="275">
        <f>SUMIF('IN Act'!$A:$A,$A21,'IN Act'!$Q:$Q)</f>
        <v>2925.2716700000001</v>
      </c>
      <c r="T21" s="287">
        <f t="shared" si="8"/>
        <v>3.8005125971552429E-2</v>
      </c>
      <c r="U21" s="275">
        <f>SUMIF('IN Py'!$A:$A,$A21,'IN Py'!$O:$O)</f>
        <v>2000.0855946511588</v>
      </c>
      <c r="V21" s="287">
        <f t="shared" si="9"/>
        <v>2.4727762796675629E-2</v>
      </c>
      <c r="W21" s="251">
        <f t="shared" si="10"/>
        <v>925.18607534884131</v>
      </c>
      <c r="X21" s="282">
        <f t="shared" si="11"/>
        <v>0.46257324077683082</v>
      </c>
      <c r="Y21" s="301"/>
      <c r="Z21" s="275">
        <f>SUMIF('IN Act'!$A:$A,$A21,'IN Act'!$Q:$Q)</f>
        <v>2925.2716700000001</v>
      </c>
      <c r="AA21" s="287">
        <f t="shared" si="12"/>
        <v>3.8005125971552429E-2</v>
      </c>
      <c r="AB21" s="251">
        <f>SUMIF('IN Py'!$A:$A,$A21,'IN Py'!$Q:$Q)</f>
        <v>0</v>
      </c>
      <c r="AC21" s="287">
        <f t="shared" si="13"/>
        <v>0</v>
      </c>
      <c r="AD21" s="251">
        <f t="shared" si="14"/>
        <v>2925.2716700000001</v>
      </c>
      <c r="AE21" s="282" t="str">
        <f t="shared" si="15"/>
        <v>-</v>
      </c>
    </row>
    <row r="22" spans="1:31" s="249" customFormat="1" x14ac:dyDescent="0.25">
      <c r="A22" s="249" t="s">
        <v>262</v>
      </c>
      <c r="B22"/>
      <c r="C22" s="292" t="s">
        <v>263</v>
      </c>
      <c r="D22" s="275">
        <f>SUMIF('IN Act'!$A:$A,$A22,'IN Act'!$Q:$Q)</f>
        <v>0</v>
      </c>
      <c r="E22" s="287">
        <f t="shared" si="0"/>
        <v>0</v>
      </c>
      <c r="F22" s="275">
        <f>SUMIF('IN Bdg'!$A:$A,$A22,'IN Bdg'!$Q:$Q)</f>
        <v>0</v>
      </c>
      <c r="G22" s="287">
        <f t="shared" si="1"/>
        <v>0</v>
      </c>
      <c r="H22" s="251">
        <f t="shared" si="2"/>
        <v>0</v>
      </c>
      <c r="I22" s="282" t="str">
        <f t="shared" si="3"/>
        <v>-</v>
      </c>
      <c r="J22" s="301"/>
      <c r="K22" s="275">
        <f>SUMIF('IN Act'!$A:$A,$A22,'IN Act'!$Q:$Q)</f>
        <v>0</v>
      </c>
      <c r="L22" s="287">
        <f t="shared" si="4"/>
        <v>0</v>
      </c>
      <c r="M22" s="275">
        <f>SUMIF('IN Py'!$A:$A,$A22,'IN Py'!$Q:$Q)</f>
        <v>218</v>
      </c>
      <c r="N22" s="287">
        <f t="shared" si="5"/>
        <v>2.662400312648844E-3</v>
      </c>
      <c r="O22" s="251">
        <f t="shared" si="6"/>
        <v>-218</v>
      </c>
      <c r="P22" s="282">
        <f t="shared" si="7"/>
        <v>-1</v>
      </c>
      <c r="Q22" s="301"/>
      <c r="R22" s="301"/>
      <c r="S22" s="275">
        <f>SUMIF('IN Act'!$A:$A,$A22,'IN Act'!$Q:$Q)</f>
        <v>0</v>
      </c>
      <c r="T22" s="287">
        <f t="shared" si="8"/>
        <v>0</v>
      </c>
      <c r="U22" s="275">
        <f>SUMIF('IN Py'!$A:$A,$A22,'IN Py'!$O:$O)</f>
        <v>0</v>
      </c>
      <c r="V22" s="287">
        <f t="shared" si="9"/>
        <v>0</v>
      </c>
      <c r="W22" s="251">
        <f t="shared" si="10"/>
        <v>0</v>
      </c>
      <c r="X22" s="282" t="str">
        <f t="shared" si="11"/>
        <v>-</v>
      </c>
      <c r="Y22" s="301"/>
      <c r="Z22" s="275">
        <f>SUMIF('IN Act'!$A:$A,$A22,'IN Act'!$Q:$Q)</f>
        <v>0</v>
      </c>
      <c r="AA22" s="287">
        <f t="shared" si="12"/>
        <v>0</v>
      </c>
      <c r="AB22" s="251">
        <f>SUMIF('IN Py'!$A:$A,$A22,'IN Py'!$Q:$Q)</f>
        <v>218</v>
      </c>
      <c r="AC22" s="287">
        <f t="shared" si="13"/>
        <v>2.662400312648844E-3</v>
      </c>
      <c r="AD22" s="251">
        <f t="shared" si="14"/>
        <v>-218</v>
      </c>
      <c r="AE22" s="282">
        <f t="shared" si="15"/>
        <v>-1</v>
      </c>
    </row>
    <row r="23" spans="1:31" s="249" customFormat="1" ht="25.5" customHeight="1" x14ac:dyDescent="0.3">
      <c r="B23"/>
      <c r="C23" s="293" t="s">
        <v>352</v>
      </c>
      <c r="D23" s="274"/>
      <c r="E23" s="286"/>
      <c r="F23" s="274"/>
      <c r="G23" s="286"/>
      <c r="H23" s="252"/>
      <c r="I23" s="281"/>
      <c r="J23" s="301"/>
      <c r="K23" s="274"/>
      <c r="L23" s="286"/>
      <c r="M23" s="274"/>
      <c r="N23" s="286"/>
      <c r="O23" s="387"/>
      <c r="P23" s="281"/>
      <c r="Q23" s="301"/>
      <c r="R23" s="301"/>
      <c r="S23" s="274"/>
      <c r="T23" s="286"/>
      <c r="U23" s="274"/>
      <c r="V23" s="286"/>
      <c r="W23" s="387"/>
      <c r="X23" s="281"/>
      <c r="Y23" s="301"/>
      <c r="Z23" s="274"/>
      <c r="AA23" s="286"/>
      <c r="AB23" s="252"/>
      <c r="AC23" s="286"/>
      <c r="AD23" s="252"/>
      <c r="AE23" s="281"/>
    </row>
    <row r="24" spans="1:31" s="249" customFormat="1" x14ac:dyDescent="0.25">
      <c r="A24" s="249" t="s">
        <v>265</v>
      </c>
      <c r="B24"/>
      <c r="C24" s="292" t="s">
        <v>266</v>
      </c>
      <c r="D24" s="275">
        <f>SUMIF('IN Act'!$A:$A,$A24,'IN Act'!$Q:$Q)</f>
        <v>-13537.594499999999</v>
      </c>
      <c r="E24" s="287">
        <f t="shared" ref="E24:E30" si="16">D24/D$45</f>
        <v>-0.17588041124546058</v>
      </c>
      <c r="F24" s="275">
        <f>SUMIF('IN Bdg'!$A:$A,$A24,'IN Bdg'!$Q:$Q)</f>
        <v>-8852.0852140655043</v>
      </c>
      <c r="G24" s="287">
        <f t="shared" ref="G24:G30" si="17">F24/F$45</f>
        <v>-0.10973680905217187</v>
      </c>
      <c r="H24" s="251">
        <f t="shared" ref="H24:H30" si="18">D24-F24</f>
        <v>-4685.509285934495</v>
      </c>
      <c r="I24" s="282">
        <f t="shared" ref="I24:I30" si="19">IF(F24=0,"-",H24/F24)</f>
        <v>0.52931136253517574</v>
      </c>
      <c r="J24" s="301"/>
      <c r="K24" s="275">
        <f>SUMIF('IN Act'!$A:$A,$A24,'IN Act'!$Q:$Q)</f>
        <v>-13537.594499999999</v>
      </c>
      <c r="L24" s="287">
        <f t="shared" ref="L24:L30" si="20">K24/K$45</f>
        <v>-0.17588041124546058</v>
      </c>
      <c r="M24" s="275">
        <f>SUMIF('IN Py'!$A:$A,$A24,'IN Py'!$Q:$Q)</f>
        <v>-10827</v>
      </c>
      <c r="N24" s="287">
        <f t="shared" ref="N24:N30" si="21">M24/M$45</f>
        <v>-0.13222847791306896</v>
      </c>
      <c r="O24" s="251">
        <f t="shared" ref="O24:O30" si="22">K24-M24</f>
        <v>-2710.5944999999992</v>
      </c>
      <c r="P24" s="282">
        <f t="shared" ref="P24:P30" si="23">IF(M24=0,"-",O24/M24)</f>
        <v>0.25035508451094479</v>
      </c>
      <c r="Q24" s="301"/>
      <c r="R24" s="301"/>
      <c r="S24" s="275">
        <f>SUMIF('IN Act'!$A:$A,$A24,'IN Act'!$Q:$Q)</f>
        <v>-13537.594499999999</v>
      </c>
      <c r="T24" s="287">
        <f t="shared" ref="T24:T30" si="24">S24/S$45</f>
        <v>-0.17588041124546058</v>
      </c>
      <c r="U24" s="275">
        <f>SUMIF('IN Py'!$A:$A,$A24,'IN Py'!$O:$O)</f>
        <v>-8405.3583199999994</v>
      </c>
      <c r="V24" s="287">
        <f t="shared" ref="V24:V30" si="25">U24/U$45</f>
        <v>-0.10391840594915887</v>
      </c>
      <c r="W24" s="251">
        <f t="shared" ref="W24:W30" si="26">S24-U24</f>
        <v>-5132.2361799999999</v>
      </c>
      <c r="X24" s="282">
        <f t="shared" ref="X24:X30" si="27">IF(U24=0,"-",W24/U24)</f>
        <v>0.6105910045248375</v>
      </c>
      <c r="Y24" s="301"/>
      <c r="Z24" s="275">
        <f>SUMIF('IN Act'!$A:$A,$A24,'IN Act'!$Q:$Q)</f>
        <v>-13537.594499999999</v>
      </c>
      <c r="AA24" s="287">
        <f t="shared" ref="AA24:AA30" si="28">Z24/Z$45</f>
        <v>-0.17588041124546058</v>
      </c>
      <c r="AB24" s="251">
        <f>SUMIF('IN Py'!$A:$A,$A24,'IN Py'!$Q:$Q)</f>
        <v>-10827</v>
      </c>
      <c r="AC24" s="287">
        <f t="shared" ref="AC24:AC30" si="29">AB24/AB$45</f>
        <v>-0.13222847791306896</v>
      </c>
      <c r="AD24" s="251">
        <f t="shared" ref="AD24:AD30" si="30">Z24-AB24</f>
        <v>-2710.5944999999992</v>
      </c>
      <c r="AE24" s="282">
        <f t="shared" ref="AE24:AE30" si="31">IF(AB24=0,"-",AD24/AB24)</f>
        <v>0.25035508451094479</v>
      </c>
    </row>
    <row r="25" spans="1:31" s="249" customFormat="1" x14ac:dyDescent="0.25">
      <c r="A25" s="249" t="s">
        <v>267</v>
      </c>
      <c r="B25"/>
      <c r="C25" s="292" t="s">
        <v>268</v>
      </c>
      <c r="D25" s="275">
        <f>SUMIF('IN Act'!$A:$A,$A25,'IN Act'!$Q:$Q)</f>
        <v>0</v>
      </c>
      <c r="E25" s="287">
        <f t="shared" si="16"/>
        <v>0</v>
      </c>
      <c r="F25" s="275">
        <f>SUMIF('IN Bdg'!$A:$A,$A25,'IN Bdg'!$Q:$Q)</f>
        <v>-480.08006690125086</v>
      </c>
      <c r="G25" s="287">
        <f t="shared" si="17"/>
        <v>-5.9514174747873844E-3</v>
      </c>
      <c r="H25" s="251">
        <f t="shared" si="18"/>
        <v>480.08006690125086</v>
      </c>
      <c r="I25" s="282">
        <f t="shared" si="19"/>
        <v>-1</v>
      </c>
      <c r="J25" s="301"/>
      <c r="K25" s="275">
        <f>SUMIF('IN Act'!$A:$A,$A25,'IN Act'!$Q:$Q)</f>
        <v>0</v>
      </c>
      <c r="L25" s="287">
        <f t="shared" si="20"/>
        <v>0</v>
      </c>
      <c r="M25" s="275">
        <f>SUMIF('IN Py'!$A:$A,$A25,'IN Py'!$Q:$Q)</f>
        <v>0</v>
      </c>
      <c r="N25" s="287">
        <f t="shared" si="21"/>
        <v>0</v>
      </c>
      <c r="O25" s="251">
        <f t="shared" si="22"/>
        <v>0</v>
      </c>
      <c r="P25" s="282" t="str">
        <f t="shared" si="23"/>
        <v>-</v>
      </c>
      <c r="Q25" s="301"/>
      <c r="R25" s="301"/>
      <c r="S25" s="275">
        <f>SUMIF('IN Act'!$A:$A,$A25,'IN Act'!$Q:$Q)</f>
        <v>0</v>
      </c>
      <c r="T25" s="287">
        <f t="shared" si="24"/>
        <v>0</v>
      </c>
      <c r="U25" s="275">
        <f>SUMIF('IN Py'!$A:$A,$A25,'IN Py'!$O:$O)</f>
        <v>-437.98002000000002</v>
      </c>
      <c r="V25" s="287">
        <f t="shared" si="25"/>
        <v>-5.4149012788286136E-3</v>
      </c>
      <c r="W25" s="251">
        <f t="shared" si="26"/>
        <v>437.98002000000002</v>
      </c>
      <c r="X25" s="282">
        <f t="shared" si="27"/>
        <v>-1</v>
      </c>
      <c r="Y25" s="301"/>
      <c r="Z25" s="275">
        <f>SUMIF('IN Act'!$A:$A,$A25,'IN Act'!$Q:$Q)</f>
        <v>0</v>
      </c>
      <c r="AA25" s="287">
        <f t="shared" si="28"/>
        <v>0</v>
      </c>
      <c r="AB25" s="251">
        <f>SUMIF('IN Py'!$A:$A,$A25,'IN Py'!$Q:$Q)</f>
        <v>0</v>
      </c>
      <c r="AC25" s="287">
        <f t="shared" si="29"/>
        <v>0</v>
      </c>
      <c r="AD25" s="251">
        <f t="shared" si="30"/>
        <v>0</v>
      </c>
      <c r="AE25" s="282" t="str">
        <f t="shared" si="31"/>
        <v>-</v>
      </c>
    </row>
    <row r="26" spans="1:31" s="249" customFormat="1" x14ac:dyDescent="0.25">
      <c r="A26" s="249" t="s">
        <v>269</v>
      </c>
      <c r="B26"/>
      <c r="C26" s="292" t="s">
        <v>270</v>
      </c>
      <c r="D26" s="275">
        <f>SUMIF('IN Act'!$A:$A,$A26,'IN Act'!$Q:$Q)</f>
        <v>-674.73827999999992</v>
      </c>
      <c r="E26" s="287">
        <f t="shared" si="16"/>
        <v>-8.7661989114428511E-3</v>
      </c>
      <c r="F26" s="275">
        <f>SUMIF('IN Bdg'!$A:$A,$A26,'IN Bdg'!$Q:$Q)</f>
        <v>-697.09867153633797</v>
      </c>
      <c r="G26" s="287">
        <f t="shared" si="17"/>
        <v>-8.6417360383466962E-3</v>
      </c>
      <c r="H26" s="251">
        <f t="shared" si="18"/>
        <v>22.360391536338057</v>
      </c>
      <c r="I26" s="282">
        <f t="shared" si="19"/>
        <v>-3.2076365153670308E-2</v>
      </c>
      <c r="J26" s="301"/>
      <c r="K26" s="275">
        <f>SUMIF('IN Act'!$A:$A,$A26,'IN Act'!$Q:$Q)</f>
        <v>-674.73827999999992</v>
      </c>
      <c r="L26" s="287">
        <f t="shared" si="20"/>
        <v>-8.7661989114428511E-3</v>
      </c>
      <c r="M26" s="275">
        <f>SUMIF('IN Py'!$A:$A,$A26,'IN Py'!$Q:$Q)</f>
        <v>0</v>
      </c>
      <c r="N26" s="287">
        <f t="shared" si="21"/>
        <v>0</v>
      </c>
      <c r="O26" s="251">
        <f t="shared" si="22"/>
        <v>-674.73827999999992</v>
      </c>
      <c r="P26" s="282" t="str">
        <f t="shared" si="23"/>
        <v>-</v>
      </c>
      <c r="Q26" s="301"/>
      <c r="R26" s="301"/>
      <c r="S26" s="275">
        <f>SUMIF('IN Act'!$A:$A,$A26,'IN Act'!$Q:$Q)</f>
        <v>-674.73827999999992</v>
      </c>
      <c r="T26" s="287">
        <f t="shared" si="24"/>
        <v>-8.7661989114428511E-3</v>
      </c>
      <c r="U26" s="275">
        <f>SUMIF('IN Py'!$A:$A,$A26,'IN Py'!$O:$O)</f>
        <v>-795.15283999999986</v>
      </c>
      <c r="V26" s="287">
        <f t="shared" si="25"/>
        <v>-9.8307546773028671E-3</v>
      </c>
      <c r="W26" s="251">
        <f t="shared" si="26"/>
        <v>120.41455999999994</v>
      </c>
      <c r="X26" s="282">
        <f t="shared" si="27"/>
        <v>-0.15143574158648537</v>
      </c>
      <c r="Y26" s="301"/>
      <c r="Z26" s="275">
        <f>SUMIF('IN Act'!$A:$A,$A26,'IN Act'!$Q:$Q)</f>
        <v>-674.73827999999992</v>
      </c>
      <c r="AA26" s="287">
        <f t="shared" si="28"/>
        <v>-8.7661989114428511E-3</v>
      </c>
      <c r="AB26" s="251">
        <f>SUMIF('IN Py'!$A:$A,$A26,'IN Py'!$Q:$Q)</f>
        <v>0</v>
      </c>
      <c r="AC26" s="287">
        <f t="shared" si="29"/>
        <v>0</v>
      </c>
      <c r="AD26" s="251">
        <f t="shared" si="30"/>
        <v>-674.73827999999992</v>
      </c>
      <c r="AE26" s="282" t="str">
        <f t="shared" si="31"/>
        <v>-</v>
      </c>
    </row>
    <row r="27" spans="1:31" s="249" customFormat="1" x14ac:dyDescent="0.25">
      <c r="A27" s="249" t="s">
        <v>271</v>
      </c>
      <c r="B27"/>
      <c r="C27" s="292" t="s">
        <v>46</v>
      </c>
      <c r="D27" s="275">
        <f>SUMIF('IN Act'!$A:$A,$A27,'IN Act'!$Q:$Q)</f>
        <v>-1871.9507100000001</v>
      </c>
      <c r="E27" s="287">
        <f t="shared" si="16"/>
        <v>-2.4320381342935925E-2</v>
      </c>
      <c r="F27" s="275">
        <f>SUMIF('IN Bdg'!$A:$A,$A27,'IN Bdg'!$Q:$Q)</f>
        <v>-1877.3550898712049</v>
      </c>
      <c r="G27" s="287">
        <f t="shared" si="17"/>
        <v>-2.3273042682979632E-2</v>
      </c>
      <c r="H27" s="251">
        <f t="shared" si="18"/>
        <v>5.4043798712048101</v>
      </c>
      <c r="I27" s="282">
        <f t="shared" si="19"/>
        <v>-2.8787201208566116E-3</v>
      </c>
      <c r="J27" s="301"/>
      <c r="K27" s="275">
        <f>SUMIF('IN Act'!$A:$A,$A27,'IN Act'!$Q:$Q)</f>
        <v>-1871.9507100000001</v>
      </c>
      <c r="L27" s="287">
        <f t="shared" si="20"/>
        <v>-2.4320381342935925E-2</v>
      </c>
      <c r="M27" s="275">
        <f>SUMIF('IN Py'!$A:$A,$A27,'IN Py'!$Q:$Q)</f>
        <v>-977</v>
      </c>
      <c r="N27" s="287">
        <f t="shared" si="21"/>
        <v>-1.1931950025036333E-2</v>
      </c>
      <c r="O27" s="251">
        <f t="shared" si="22"/>
        <v>-894.95071000000007</v>
      </c>
      <c r="P27" s="282">
        <f t="shared" si="23"/>
        <v>0.91601915046059368</v>
      </c>
      <c r="Q27" s="301"/>
      <c r="R27" s="301"/>
      <c r="S27" s="275">
        <f>SUMIF('IN Act'!$A:$A,$A27,'IN Act'!$Q:$Q)</f>
        <v>-1871.9507100000001</v>
      </c>
      <c r="T27" s="287">
        <f t="shared" si="24"/>
        <v>-2.4320381342935925E-2</v>
      </c>
      <c r="U27" s="275">
        <f>SUMIF('IN Py'!$A:$A,$A27,'IN Py'!$O:$O)</f>
        <v>-1683.7165699999998</v>
      </c>
      <c r="V27" s="287">
        <f t="shared" si="25"/>
        <v>-2.0816381094457062E-2</v>
      </c>
      <c r="W27" s="251">
        <f t="shared" si="26"/>
        <v>-188.23414000000025</v>
      </c>
      <c r="X27" s="282">
        <f t="shared" si="27"/>
        <v>0.11179680912684745</v>
      </c>
      <c r="Y27" s="301"/>
      <c r="Z27" s="275">
        <f>SUMIF('IN Act'!$A:$A,$A27,'IN Act'!$Q:$Q)</f>
        <v>-1871.9507100000001</v>
      </c>
      <c r="AA27" s="287">
        <f t="shared" si="28"/>
        <v>-2.4320381342935925E-2</v>
      </c>
      <c r="AB27" s="251">
        <f>SUMIF('IN Py'!$A:$A,$A27,'IN Py'!$Q:$Q)</f>
        <v>-977</v>
      </c>
      <c r="AC27" s="287">
        <f t="shared" si="29"/>
        <v>-1.1931950025036333E-2</v>
      </c>
      <c r="AD27" s="251">
        <f t="shared" si="30"/>
        <v>-894.95071000000007</v>
      </c>
      <c r="AE27" s="282">
        <f t="shared" si="31"/>
        <v>0.91601915046059368</v>
      </c>
    </row>
    <row r="28" spans="1:31" s="249" customFormat="1" x14ac:dyDescent="0.25">
      <c r="A28" s="249" t="s">
        <v>272</v>
      </c>
      <c r="B28"/>
      <c r="C28" s="292" t="s">
        <v>47</v>
      </c>
      <c r="D28" s="275">
        <f>SUMIF('IN Act'!$A:$A,$A28,'IN Act'!$Q:$Q)</f>
        <v>-10230</v>
      </c>
      <c r="E28" s="287">
        <f t="shared" si="16"/>
        <v>-0.13290814753249272</v>
      </c>
      <c r="F28" s="275">
        <f>SUMIF('IN Bdg'!$A:$A,$A28,'IN Bdg'!$Q:$Q)</f>
        <v>-7709.2100549088336</v>
      </c>
      <c r="G28" s="287">
        <f t="shared" si="17"/>
        <v>-9.5568907356923E-2</v>
      </c>
      <c r="H28" s="251">
        <f t="shared" si="18"/>
        <v>-2520.7899450911664</v>
      </c>
      <c r="I28" s="282">
        <f t="shared" si="19"/>
        <v>0.3269842081272718</v>
      </c>
      <c r="J28" s="301"/>
      <c r="K28" s="275">
        <f>SUMIF('IN Act'!$A:$A,$A28,'IN Act'!$Q:$Q)</f>
        <v>-10230</v>
      </c>
      <c r="L28" s="287">
        <f t="shared" si="20"/>
        <v>-0.13290814753249272</v>
      </c>
      <c r="M28" s="275">
        <f>SUMIF('IN Py'!$A:$A,$A28,'IN Py'!$Q:$Q)</f>
        <v>-15844</v>
      </c>
      <c r="N28" s="287">
        <f t="shared" si="21"/>
        <v>-0.19350032364040498</v>
      </c>
      <c r="O28" s="251">
        <f t="shared" si="22"/>
        <v>5614</v>
      </c>
      <c r="P28" s="282">
        <f t="shared" si="23"/>
        <v>-0.35432971471850544</v>
      </c>
      <c r="Q28" s="301"/>
      <c r="R28" s="301"/>
      <c r="S28" s="275">
        <f>SUMIF('IN Act'!$A:$A,$A28,'IN Act'!$Q:$Q)</f>
        <v>-10230</v>
      </c>
      <c r="T28" s="287">
        <f t="shared" si="24"/>
        <v>-0.13290814753249272</v>
      </c>
      <c r="U28" s="275">
        <f>SUMIF('IN Py'!$A:$A,$A28,'IN Py'!$O:$O)</f>
        <v>-8365.2935399999988</v>
      </c>
      <c r="V28" s="287">
        <f t="shared" si="25"/>
        <v>-0.10342307096000117</v>
      </c>
      <c r="W28" s="251">
        <f t="shared" si="26"/>
        <v>-1864.7064600000012</v>
      </c>
      <c r="X28" s="282">
        <f t="shared" si="27"/>
        <v>0.22290986575469313</v>
      </c>
      <c r="Y28" s="301"/>
      <c r="Z28" s="275">
        <f>SUMIF('IN Act'!$A:$A,$A28,'IN Act'!$Q:$Q)</f>
        <v>-10230</v>
      </c>
      <c r="AA28" s="287">
        <f t="shared" si="28"/>
        <v>-0.13290814753249272</v>
      </c>
      <c r="AB28" s="251">
        <f>SUMIF('IN Py'!$A:$A,$A28,'IN Py'!$Q:$Q)</f>
        <v>-15844</v>
      </c>
      <c r="AC28" s="287">
        <f t="shared" si="29"/>
        <v>-0.19350032364040498</v>
      </c>
      <c r="AD28" s="251">
        <f t="shared" si="30"/>
        <v>5614</v>
      </c>
      <c r="AE28" s="282">
        <f t="shared" si="31"/>
        <v>-0.35432971471850544</v>
      </c>
    </row>
    <row r="29" spans="1:31" s="249" customFormat="1" ht="13" thickBot="1" x14ac:dyDescent="0.3">
      <c r="A29" s="249" t="s">
        <v>273</v>
      </c>
      <c r="B29"/>
      <c r="C29" s="292" t="s">
        <v>274</v>
      </c>
      <c r="D29" s="275">
        <f>SUMIF('IN Act'!$A:$A,$A29,'IN Act'!$Q:$Q)</f>
        <v>-123.40631999999999</v>
      </c>
      <c r="E29" s="287">
        <f t="shared" si="16"/>
        <v>-1.6032947590422294E-3</v>
      </c>
      <c r="F29" s="275">
        <f>SUMIF('IN Bdg'!$A:$A,$A29,'IN Bdg'!$Q:$Q)</f>
        <v>-56.906320000000001</v>
      </c>
      <c r="G29" s="287">
        <f t="shared" si="17"/>
        <v>-7.0545163322414213E-4</v>
      </c>
      <c r="H29" s="251">
        <f t="shared" si="18"/>
        <v>-66.5</v>
      </c>
      <c r="I29" s="282">
        <f t="shared" si="19"/>
        <v>1.1685872500629104</v>
      </c>
      <c r="J29" s="301"/>
      <c r="K29" s="275">
        <f>SUMIF('IN Act'!$A:$A,$A29,'IN Act'!$Q:$Q)</f>
        <v>-123.40631999999999</v>
      </c>
      <c r="L29" s="287">
        <f t="shared" si="20"/>
        <v>-1.6032947590422294E-3</v>
      </c>
      <c r="M29" s="275">
        <f>SUMIF('IN Py'!$A:$A,$A29,'IN Py'!$Q:$Q)</f>
        <v>0</v>
      </c>
      <c r="N29" s="287">
        <f t="shared" si="21"/>
        <v>0</v>
      </c>
      <c r="O29" s="251">
        <f t="shared" si="22"/>
        <v>-123.40631999999999</v>
      </c>
      <c r="P29" s="282" t="str">
        <f t="shared" si="23"/>
        <v>-</v>
      </c>
      <c r="Q29" s="301"/>
      <c r="R29" s="301"/>
      <c r="S29" s="275">
        <f>SUMIF('IN Act'!$A:$A,$A29,'IN Act'!$Q:$Q)</f>
        <v>-123.40631999999999</v>
      </c>
      <c r="T29" s="287">
        <f t="shared" si="24"/>
        <v>-1.6032947590422294E-3</v>
      </c>
      <c r="U29" s="275">
        <f>SUMIF('IN Py'!$A:$A,$A29,'IN Py'!$O:$O)</f>
        <v>-56.906320000000001</v>
      </c>
      <c r="V29" s="287">
        <f t="shared" si="25"/>
        <v>-7.0355288111414375E-4</v>
      </c>
      <c r="W29" s="251">
        <f t="shared" si="26"/>
        <v>-66.5</v>
      </c>
      <c r="X29" s="282">
        <f t="shared" si="27"/>
        <v>1.1685872500629104</v>
      </c>
      <c r="Y29" s="301"/>
      <c r="Z29" s="275">
        <f>SUMIF('IN Act'!$A:$A,$A29,'IN Act'!$Q:$Q)</f>
        <v>-123.40631999999999</v>
      </c>
      <c r="AA29" s="287">
        <f t="shared" si="28"/>
        <v>-1.6032947590422294E-3</v>
      </c>
      <c r="AB29" s="251">
        <f>SUMIF('IN Py'!$A:$A,$A29,'IN Py'!$Q:$Q)</f>
        <v>0</v>
      </c>
      <c r="AC29" s="287">
        <f t="shared" si="29"/>
        <v>0</v>
      </c>
      <c r="AD29" s="251">
        <f t="shared" si="30"/>
        <v>-123.40631999999999</v>
      </c>
      <c r="AE29" s="282" t="str">
        <f t="shared" si="31"/>
        <v>-</v>
      </c>
    </row>
    <row r="30" spans="1:31" s="249" customFormat="1" ht="13.5" customHeight="1" thickBot="1" x14ac:dyDescent="0.35">
      <c r="A30" s="386"/>
      <c r="B30" s="8"/>
      <c r="C30" s="253" t="s">
        <v>48</v>
      </c>
      <c r="D30" s="253">
        <f>SUM(D18:D29)+D14</f>
        <v>1643.0375900000122</v>
      </c>
      <c r="E30" s="196">
        <f t="shared" si="16"/>
        <v>2.1346342366877116E-2</v>
      </c>
      <c r="F30" s="253">
        <f>SUM(F18:F29)+F14</f>
        <v>10053.169231286091</v>
      </c>
      <c r="G30" s="196">
        <f t="shared" si="17"/>
        <v>0.12462630957843462</v>
      </c>
      <c r="H30" s="257">
        <f t="shared" si="18"/>
        <v>-8410.1316412860779</v>
      </c>
      <c r="I30" s="198">
        <f t="shared" si="19"/>
        <v>-0.83656521120854332</v>
      </c>
      <c r="J30" s="301"/>
      <c r="K30" s="253">
        <f>SUM(K18:K29)+K14</f>
        <v>1643.0375900000122</v>
      </c>
      <c r="L30" s="196">
        <f t="shared" si="20"/>
        <v>2.1346342366877116E-2</v>
      </c>
      <c r="M30" s="253">
        <f>SUM(M18:M29)+M14</f>
        <v>5323</v>
      </c>
      <c r="N30" s="196">
        <f t="shared" si="21"/>
        <v>6.500897644142109E-2</v>
      </c>
      <c r="O30" s="257">
        <f t="shared" si="22"/>
        <v>-3679.9624099999878</v>
      </c>
      <c r="P30" s="198">
        <f t="shared" si="23"/>
        <v>-0.69133240841630428</v>
      </c>
      <c r="Q30" s="301"/>
      <c r="R30" s="301"/>
      <c r="S30" s="253">
        <f>SUM(S18:S29)+S14</f>
        <v>1643.0375900000122</v>
      </c>
      <c r="T30" s="196">
        <f t="shared" si="24"/>
        <v>2.1346342366877116E-2</v>
      </c>
      <c r="U30" s="253">
        <f>SUM(U18:U29)+U14</f>
        <v>9987.028124251161</v>
      </c>
      <c r="V30" s="196">
        <f t="shared" si="25"/>
        <v>0.12347314692963605</v>
      </c>
      <c r="W30" s="257">
        <f t="shared" si="26"/>
        <v>-8343.9905342511483</v>
      </c>
      <c r="X30" s="198">
        <f t="shared" si="27"/>
        <v>-0.83548283137300072</v>
      </c>
      <c r="Y30" s="301"/>
      <c r="Z30" s="253">
        <f>SUM(Z18:Z29)+Z14</f>
        <v>1643.0375900000122</v>
      </c>
      <c r="AA30" s="196">
        <f t="shared" si="28"/>
        <v>2.1346342366877116E-2</v>
      </c>
      <c r="AB30" s="257">
        <f>SUM(AB18:AB29)+AB14</f>
        <v>5323</v>
      </c>
      <c r="AC30" s="196">
        <f t="shared" si="29"/>
        <v>6.500897644142109E-2</v>
      </c>
      <c r="AD30" s="257">
        <f t="shared" si="30"/>
        <v>-3679.9624099999878</v>
      </c>
      <c r="AE30" s="198">
        <f t="shared" si="31"/>
        <v>-0.69133240841630428</v>
      </c>
    </row>
    <row r="31" spans="1:31" s="249" customFormat="1" ht="25.5" customHeight="1" x14ac:dyDescent="0.3">
      <c r="B31"/>
      <c r="C31" s="293" t="s">
        <v>275</v>
      </c>
      <c r="D31" s="274"/>
      <c r="E31" s="286"/>
      <c r="F31" s="274"/>
      <c r="G31" s="286"/>
      <c r="H31" s="252"/>
      <c r="I31" s="281"/>
      <c r="J31" s="301"/>
      <c r="K31" s="274"/>
      <c r="L31" s="286"/>
      <c r="M31" s="274"/>
      <c r="N31" s="286"/>
      <c r="O31" s="387"/>
      <c r="P31" s="281"/>
      <c r="Q31" s="301"/>
      <c r="R31" s="301"/>
      <c r="S31" s="274"/>
      <c r="T31" s="286"/>
      <c r="U31" s="274"/>
      <c r="V31" s="286"/>
      <c r="W31" s="387"/>
      <c r="X31" s="281"/>
      <c r="Y31" s="301"/>
      <c r="Z31" s="274"/>
      <c r="AA31" s="286"/>
      <c r="AB31" s="252"/>
      <c r="AC31" s="286"/>
      <c r="AD31" s="252"/>
      <c r="AE31" s="281"/>
    </row>
    <row r="32" spans="1:31" s="249" customFormat="1" x14ac:dyDescent="0.25">
      <c r="A32" s="249" t="s">
        <v>276</v>
      </c>
      <c r="B32"/>
      <c r="C32" s="292" t="s">
        <v>49</v>
      </c>
      <c r="D32" s="275">
        <f>SUMIF('IN Act'!$A:$A,$A32,'IN Act'!$Q:$Q)</f>
        <v>83515</v>
      </c>
      <c r="E32" s="287">
        <f t="shared" ref="E32:G39" si="32">D32/D$45</f>
        <v>1.0850267782185854</v>
      </c>
      <c r="F32" s="275">
        <f>SUMIF('IN Bdg'!$A:$A,$A32,'IN Bdg'!$Q:$Q)</f>
        <v>84006.417620949185</v>
      </c>
      <c r="G32" s="287">
        <f t="shared" si="32"/>
        <v>1.0414039163314013</v>
      </c>
      <c r="H32" s="251">
        <f t="shared" ref="H32:H39" si="33">D32-F32</f>
        <v>-491.41762094918522</v>
      </c>
      <c r="I32" s="282">
        <f t="shared" ref="I32:I39" si="34">IF(F32=0,"-",H32/F32)</f>
        <v>-5.8497628498639541E-3</v>
      </c>
      <c r="J32" s="301"/>
      <c r="K32" s="275">
        <f>SUMIF('IN Act'!$A:$A,$A32,'IN Act'!$Q:$Q)</f>
        <v>83515</v>
      </c>
      <c r="L32" s="287">
        <f t="shared" ref="L32:L39" si="35">K32/K$45</f>
        <v>1.0850267782185854</v>
      </c>
      <c r="M32" s="275">
        <f>SUMIF('IN Py'!$A:$A,$A32,'IN Py'!$Q:$Q)</f>
        <v>78757</v>
      </c>
      <c r="N32" s="287">
        <f t="shared" ref="N32:N39" si="36">M32/M$45</f>
        <v>0.96184707074901377</v>
      </c>
      <c r="O32" s="251">
        <f t="shared" ref="O32:O39" si="37">K32-M32</f>
        <v>4758</v>
      </c>
      <c r="P32" s="282">
        <f>IF(M32=0,"-",O32/M32)</f>
        <v>6.0413677514379677E-2</v>
      </c>
      <c r="Q32" s="301"/>
      <c r="R32" s="301"/>
      <c r="S32" s="275">
        <f>SUMIF('IN Act'!$A:$A,$A32,'IN Act'!$Q:$Q)</f>
        <v>83515</v>
      </c>
      <c r="T32" s="287">
        <f t="shared" ref="T32:T39" si="38">S32/S$45</f>
        <v>1.0850267782185854</v>
      </c>
      <c r="U32" s="275">
        <f>SUMIF('IN Py'!$A:$A,$A32,'IN Py'!$O:$O)</f>
        <v>83516.188579999987</v>
      </c>
      <c r="V32" s="287">
        <f t="shared" ref="V32:V39" si="39">U32/U$45</f>
        <v>1.0325400604911923</v>
      </c>
      <c r="W32" s="251">
        <f t="shared" ref="W32:W39" si="40">S32-U32</f>
        <v>-1.1885799999872688</v>
      </c>
      <c r="X32" s="282">
        <f t="shared" ref="X32:X39" si="41">IF(U32=0,"-",W32/U32)</f>
        <v>-1.4231731837818849E-5</v>
      </c>
      <c r="Y32" s="301"/>
      <c r="Z32" s="275">
        <f>SUMIF('IN Act'!$A:$A,$A32,'IN Act'!$Q:$Q)</f>
        <v>83515</v>
      </c>
      <c r="AA32" s="287">
        <f t="shared" ref="AA32:AA39" si="42">Z32/Z$45</f>
        <v>1.0850267782185854</v>
      </c>
      <c r="AB32" s="251">
        <f>SUMIF('IN Py'!$A:$A,$A32,'IN Py'!$Q:$Q)</f>
        <v>78757</v>
      </c>
      <c r="AC32" s="287">
        <f t="shared" ref="AC32:AC39" si="43">AB32/AB$45</f>
        <v>0.96184707074901377</v>
      </c>
      <c r="AD32" s="251">
        <f t="shared" ref="AD32:AD39" si="44">Z32-AB32</f>
        <v>4758</v>
      </c>
      <c r="AE32" s="282">
        <f>IF(AB32=0,"-",AD32/AB32)</f>
        <v>6.0413677514379677E-2</v>
      </c>
    </row>
    <row r="33" spans="1:31" s="249" customFormat="1" x14ac:dyDescent="0.25">
      <c r="A33" s="249" t="s">
        <v>277</v>
      </c>
      <c r="B33" t="s">
        <v>419</v>
      </c>
      <c r="C33" s="292" t="s">
        <v>50</v>
      </c>
      <c r="D33" s="275">
        <f>SUMIF('IN Act'!$A:$A,$A33,'IN Act'!$Q:$Q)+SUMIF('IN Act'!$A:$A,$B33,'IN Act'!$Q:$Q)</f>
        <v>-15611</v>
      </c>
      <c r="E33" s="287">
        <f t="shared" si="32"/>
        <v>-0.20281809297455949</v>
      </c>
      <c r="F33" s="275">
        <f>SUMIF('IN Bdg'!$A:$A,$A33,'IN Bdg'!$Q:$Q)+SUMIF('IN Bdg'!$A:$A,$B33,'IN Bdg'!$Q:$Q)</f>
        <v>-16015.744782612956</v>
      </c>
      <c r="G33" s="287">
        <f t="shared" si="32"/>
        <v>-0.19854268057037147</v>
      </c>
      <c r="H33" s="251">
        <f t="shared" si="33"/>
        <v>404.74478261295553</v>
      </c>
      <c r="I33" s="282">
        <f t="shared" si="34"/>
        <v>-2.5271680343729962E-2</v>
      </c>
      <c r="J33" s="301"/>
      <c r="K33" s="275">
        <f>SUMIF('IN Act'!$A:$A,$A33,'IN Act'!$Q:$Q)+SUMIF('IN Act'!$A:$A,$B33,'IN Act'!$Q:$Q)</f>
        <v>-15611</v>
      </c>
      <c r="L33" s="287">
        <f t="shared" si="35"/>
        <v>-0.20281809297455949</v>
      </c>
      <c r="M33" s="275">
        <f>SUMIF('IN Py'!$A:$A,$A33,'IN Py'!$Q:$Q)</f>
        <v>-8701</v>
      </c>
      <c r="N33" s="287">
        <f t="shared" si="36"/>
        <v>-0.10626396844200731</v>
      </c>
      <c r="O33" s="251">
        <f t="shared" si="37"/>
        <v>-6910</v>
      </c>
      <c r="P33" s="282">
        <f>IF(M33=0,"-",O33/M33)</f>
        <v>0.79416159062176761</v>
      </c>
      <c r="Q33" s="301"/>
      <c r="R33" s="301"/>
      <c r="S33" s="275">
        <f>SUMIF('IN Act'!$A:$A,$A33,'IN Act'!$Q:$Q)+SUMIF('IN Act'!$A:$A,$B33,'IN Act'!$Q:$Q)</f>
        <v>-15611</v>
      </c>
      <c r="T33" s="287">
        <f t="shared" si="38"/>
        <v>-0.20281809297455949</v>
      </c>
      <c r="U33" s="275">
        <f>SUMIF('IN Py'!$A:$A,$A33,'IN Py'!$O:$O)</f>
        <v>-15421.991397575757</v>
      </c>
      <c r="V33" s="287">
        <f t="shared" si="39"/>
        <v>-0.19066751250620256</v>
      </c>
      <c r="W33" s="251">
        <f t="shared" si="40"/>
        <v>-189.00860242424278</v>
      </c>
      <c r="X33" s="282">
        <f t="shared" si="41"/>
        <v>1.2255784454266637E-2</v>
      </c>
      <c r="Y33" s="301"/>
      <c r="Z33" s="275">
        <f>SUMIF('IN Act'!$A:$A,$A33,'IN Act'!$Q:$Q)+SUMIF('IN Act'!$A:$A,$B33,'IN Act'!$Q:$Q)</f>
        <v>-15611</v>
      </c>
      <c r="AA33" s="287">
        <f t="shared" si="42"/>
        <v>-0.20281809297455949</v>
      </c>
      <c r="AB33" s="251">
        <f>SUMIF('IN Py'!$A:$A,$A33,'IN Py'!$Q:$Q)+SUMIF('IN Py'!$A:$A,$B33,'IN Py'!$Q:$Q)</f>
        <v>-8701</v>
      </c>
      <c r="AC33" s="287">
        <f t="shared" si="43"/>
        <v>-0.10626396844200731</v>
      </c>
      <c r="AD33" s="251">
        <f t="shared" si="44"/>
        <v>-6910</v>
      </c>
      <c r="AE33" s="282">
        <f>IF(AB33=0,"-",AD33/AB33)</f>
        <v>0.79416159062176761</v>
      </c>
    </row>
    <row r="34" spans="1:31" s="249" customFormat="1" ht="13" x14ac:dyDescent="0.3">
      <c r="A34" s="386"/>
      <c r="B34" s="8"/>
      <c r="C34" s="311" t="s">
        <v>354</v>
      </c>
      <c r="D34" s="312">
        <f>SUM(D32:D33)</f>
        <v>67904</v>
      </c>
      <c r="E34" s="287">
        <f t="shared" si="32"/>
        <v>0.88220868524402596</v>
      </c>
      <c r="F34" s="312">
        <f>SUM(F32:F33)</f>
        <v>67990.672838336235</v>
      </c>
      <c r="G34" s="287">
        <f>F34/F$45</f>
        <v>0.84286123576102989</v>
      </c>
      <c r="H34" s="251">
        <f t="shared" si="33"/>
        <v>-86.672838336235145</v>
      </c>
      <c r="I34" s="282">
        <f t="shared" si="34"/>
        <v>-1.2747754172446584E-3</v>
      </c>
      <c r="J34" s="300"/>
      <c r="K34" s="312">
        <f>SUM(K32:K33)</f>
        <v>67904</v>
      </c>
      <c r="L34" s="287">
        <f t="shared" si="35"/>
        <v>0.88220868524402596</v>
      </c>
      <c r="M34" s="312">
        <f>SUM(M32:M33)</f>
        <v>70056</v>
      </c>
      <c r="N34" s="287">
        <f t="shared" si="36"/>
        <v>0.85558310230700652</v>
      </c>
      <c r="O34" s="251">
        <f t="shared" si="37"/>
        <v>-2152</v>
      </c>
      <c r="P34" s="315"/>
      <c r="Q34" s="300"/>
      <c r="R34" s="300"/>
      <c r="S34" s="312">
        <f>SUM(S32:S33)</f>
        <v>67904</v>
      </c>
      <c r="T34" s="287">
        <f t="shared" si="38"/>
        <v>0.88220868524402596</v>
      </c>
      <c r="U34" s="312">
        <f>SUM(U32:U33)</f>
        <v>68094.197182424236</v>
      </c>
      <c r="V34" s="287">
        <f t="shared" si="39"/>
        <v>0.84187254798498978</v>
      </c>
      <c r="W34" s="251">
        <f t="shared" si="40"/>
        <v>-190.19718242423551</v>
      </c>
      <c r="X34" s="315"/>
      <c r="Y34" s="300"/>
      <c r="Z34" s="312">
        <f>SUM(Z32:Z33)</f>
        <v>67904</v>
      </c>
      <c r="AA34" s="287">
        <f t="shared" si="42"/>
        <v>0.88220868524402596</v>
      </c>
      <c r="AB34" s="314">
        <f>SUM(AB32:AB33)</f>
        <v>70056</v>
      </c>
      <c r="AC34" s="287">
        <f t="shared" si="43"/>
        <v>0.85558310230700652</v>
      </c>
      <c r="AD34" s="251">
        <f t="shared" si="44"/>
        <v>-2152</v>
      </c>
      <c r="AE34" s="315"/>
    </row>
    <row r="35" spans="1:31" s="249" customFormat="1" x14ac:dyDescent="0.25">
      <c r="A35" s="249" t="s">
        <v>278</v>
      </c>
      <c r="B35"/>
      <c r="C35" s="292" t="s">
        <v>51</v>
      </c>
      <c r="D35" s="275">
        <f>SUMIF('IN Act'!$A:$A,$A35,'IN Act'!$Q:$Q)</f>
        <v>20166.47896</v>
      </c>
      <c r="E35" s="287">
        <f t="shared" si="32"/>
        <v>0.26200287007102546</v>
      </c>
      <c r="F35" s="275">
        <f>SUMIF('IN Bdg'!$A:$A,$A35,'IN Bdg'!$Q:$Q)</f>
        <v>20191.462293333334</v>
      </c>
      <c r="G35" s="287">
        <f>F35/F$45</f>
        <v>0.25030787532941301</v>
      </c>
      <c r="H35" s="251">
        <f t="shared" si="33"/>
        <v>-24.983333333333576</v>
      </c>
      <c r="I35" s="282">
        <f t="shared" si="34"/>
        <v>-1.2373216446825838E-3</v>
      </c>
      <c r="J35" s="301"/>
      <c r="K35" s="275">
        <f>SUMIF('IN Act'!$A:$A,$A35,'IN Act'!$Q:$Q)</f>
        <v>20166.47896</v>
      </c>
      <c r="L35" s="287">
        <f t="shared" si="35"/>
        <v>0.26200287007102546</v>
      </c>
      <c r="M35" s="275">
        <f>SUMIF('IN Py'!$A:$A,$A35,'IN Py'!$Q:$Q)</f>
        <v>17869</v>
      </c>
      <c r="N35" s="287">
        <f t="shared" si="36"/>
        <v>0.21823133571890915</v>
      </c>
      <c r="O35" s="251">
        <f t="shared" si="37"/>
        <v>2297.4789600000004</v>
      </c>
      <c r="P35" s="282">
        <f>IF(M35=0,"-",O35/M35)</f>
        <v>0.12857344898987075</v>
      </c>
      <c r="Q35" s="301"/>
      <c r="R35" s="301"/>
      <c r="S35" s="275">
        <f>SUMIF('IN Act'!$A:$A,$A35,'IN Act'!$Q:$Q)</f>
        <v>20166.47896</v>
      </c>
      <c r="T35" s="287">
        <f t="shared" si="38"/>
        <v>0.26200287007102546</v>
      </c>
      <c r="U35" s="275">
        <f>SUMIF('IN Py'!$A:$A,$A35,'IN Py'!$O:$O)</f>
        <v>20166.47896</v>
      </c>
      <c r="V35" s="287">
        <f t="shared" si="39"/>
        <v>0.2493252836281763</v>
      </c>
      <c r="W35" s="251">
        <f t="shared" si="40"/>
        <v>0</v>
      </c>
      <c r="X35" s="282">
        <f t="shared" si="41"/>
        <v>0</v>
      </c>
      <c r="Y35" s="301"/>
      <c r="Z35" s="275">
        <f>SUMIF('IN Act'!$A:$A,$A35,'IN Act'!$Q:$Q)</f>
        <v>20166.47896</v>
      </c>
      <c r="AA35" s="287">
        <f t="shared" si="42"/>
        <v>0.26200287007102546</v>
      </c>
      <c r="AB35" s="251">
        <f>SUMIF('IN Py'!$A:$A,$A35,'IN Py'!$Q:$Q)</f>
        <v>17869</v>
      </c>
      <c r="AC35" s="287">
        <f t="shared" si="43"/>
        <v>0.21823133571890915</v>
      </c>
      <c r="AD35" s="251">
        <f t="shared" si="44"/>
        <v>2297.4789600000004</v>
      </c>
      <c r="AE35" s="282">
        <f>IF(AB35=0,"-",AD35/AB35)</f>
        <v>0.12857344898987075</v>
      </c>
    </row>
    <row r="36" spans="1:31" s="249" customFormat="1" x14ac:dyDescent="0.25">
      <c r="A36" s="249" t="s">
        <v>279</v>
      </c>
      <c r="B36" t="s">
        <v>420</v>
      </c>
      <c r="C36" s="292" t="s">
        <v>50</v>
      </c>
      <c r="D36" s="275">
        <f>SUMIF('IN Act'!$A:$A,$A36,'IN Act'!$Q:$Q)+SUMIF('IN Act'!$A:$A,$B36,'IN Act'!$Q:$Q)</f>
        <v>-10359</v>
      </c>
      <c r="E36" s="287">
        <f t="shared" si="32"/>
        <v>-0.13458411537527781</v>
      </c>
      <c r="F36" s="275">
        <f>SUMIF('IN Bdg'!$A:$A,$A36,'IN Bdg'!$Q:$Q)+SUMIF('IN Bdg'!$A:$A,$B36,'IN Bdg'!$Q:$Q)</f>
        <v>-10370.867190768053</v>
      </c>
      <c r="G36" s="287">
        <f>F36/F$45</f>
        <v>-0.12856472176865405</v>
      </c>
      <c r="H36" s="251">
        <f t="shared" si="33"/>
        <v>11.867190768052751</v>
      </c>
      <c r="I36" s="282">
        <f t="shared" si="34"/>
        <v>-1.1442814327635685E-3</v>
      </c>
      <c r="J36" s="301"/>
      <c r="K36" s="275">
        <f>SUMIF('IN Act'!$A:$A,$A36,'IN Act'!$Q:$Q)+SUMIF('IN Act'!$A:$A,$B36,'IN Act'!$Q:$Q)</f>
        <v>-10359</v>
      </c>
      <c r="L36" s="287">
        <f t="shared" si="35"/>
        <v>-0.13458411537527781</v>
      </c>
      <c r="M36" s="275">
        <f>SUMIF('IN Py'!$A:$A,$A36,'IN Py'!$Q:$Q)</f>
        <v>-5002</v>
      </c>
      <c r="N36" s="287">
        <f t="shared" si="36"/>
        <v>-6.1088653045273021E-2</v>
      </c>
      <c r="O36" s="251">
        <f t="shared" si="37"/>
        <v>-5357</v>
      </c>
      <c r="P36" s="282">
        <f>IF(M36=0,"-",O36/M36)</f>
        <v>1.0709716113554577</v>
      </c>
      <c r="Q36" s="301"/>
      <c r="R36" s="301"/>
      <c r="S36" s="275">
        <f>SUMIF('IN Act'!$A:$A,$A36,'IN Act'!$Q:$Q)+SUMIF('IN Act'!$A:$A,$B36,'IN Act'!$Q:$Q)</f>
        <v>-10359</v>
      </c>
      <c r="T36" s="287">
        <f t="shared" si="38"/>
        <v>-0.13458411537527781</v>
      </c>
      <c r="U36" s="275">
        <f>SUMIF('IN Py'!$A:$A,$A36,'IN Py'!$O:$O)</f>
        <v>-10051.31631993472</v>
      </c>
      <c r="V36" s="287">
        <f t="shared" si="39"/>
        <v>-0.12426796454031265</v>
      </c>
      <c r="W36" s="251">
        <f t="shared" si="40"/>
        <v>-307.68368006527999</v>
      </c>
      <c r="X36" s="282">
        <f t="shared" si="41"/>
        <v>3.0611282171575143E-2</v>
      </c>
      <c r="Y36" s="301"/>
      <c r="Z36" s="275">
        <f>SUMIF('IN Act'!$A:$A,$A36,'IN Act'!$Q:$Q)+SUMIF('IN Act'!$A:$A,$B36,'IN Act'!$Q:$Q)</f>
        <v>-10359</v>
      </c>
      <c r="AA36" s="287">
        <f t="shared" si="42"/>
        <v>-0.13458411537527781</v>
      </c>
      <c r="AB36" s="251">
        <f>SUMIF('IN Py'!$A:$A,$A36,'IN Py'!$Q:$Q)+SUMIF('IN Py'!$A:$A,$B36,'IN Py'!$Q:$Q)</f>
        <v>-5002</v>
      </c>
      <c r="AC36" s="287">
        <f t="shared" si="43"/>
        <v>-6.1088653045273021E-2</v>
      </c>
      <c r="AD36" s="251">
        <f t="shared" si="44"/>
        <v>-5357</v>
      </c>
      <c r="AE36" s="282">
        <f>IF(AB36=0,"-",AD36/AB36)</f>
        <v>1.0709716113554577</v>
      </c>
    </row>
    <row r="37" spans="1:31" s="249" customFormat="1" ht="13" x14ac:dyDescent="0.3">
      <c r="A37" s="386"/>
      <c r="B37" s="8"/>
      <c r="C37" s="311" t="s">
        <v>355</v>
      </c>
      <c r="D37" s="312">
        <f>SUM(D35:D36)</f>
        <v>9807.4789600000004</v>
      </c>
      <c r="E37" s="301">
        <f t="shared" si="32"/>
        <v>0.12741875469574762</v>
      </c>
      <c r="F37" s="312">
        <f>SUM(F35:F36)</f>
        <v>9820.5951025652812</v>
      </c>
      <c r="G37" s="287">
        <f>F37/F$45</f>
        <v>0.12174315356075896</v>
      </c>
      <c r="H37" s="251">
        <f t="shared" si="33"/>
        <v>-13.116142565280825</v>
      </c>
      <c r="I37" s="282">
        <f t="shared" si="34"/>
        <v>-1.3355751284211583E-3</v>
      </c>
      <c r="J37" s="300"/>
      <c r="K37" s="312">
        <f>SUM(K35:K36)</f>
        <v>9807.4789600000004</v>
      </c>
      <c r="L37" s="287">
        <f t="shared" si="35"/>
        <v>0.12741875469574762</v>
      </c>
      <c r="M37" s="312">
        <f>SUM(M35:M36)</f>
        <v>12867</v>
      </c>
      <c r="N37" s="287">
        <f t="shared" si="36"/>
        <v>0.15714268267363612</v>
      </c>
      <c r="O37" s="251">
        <f t="shared" si="37"/>
        <v>-3059.5210399999996</v>
      </c>
      <c r="P37" s="315"/>
      <c r="Q37" s="300"/>
      <c r="R37" s="300"/>
      <c r="S37" s="312">
        <f>SUM(S35:S36)</f>
        <v>9807.4789600000004</v>
      </c>
      <c r="T37" s="287">
        <f t="shared" si="38"/>
        <v>0.12741875469574762</v>
      </c>
      <c r="U37" s="312">
        <f>SUM(U35:U36)</f>
        <v>10115.16264006528</v>
      </c>
      <c r="V37" s="287">
        <f t="shared" si="39"/>
        <v>0.12505731908786363</v>
      </c>
      <c r="W37" s="251">
        <f t="shared" si="40"/>
        <v>-307.68368006527999</v>
      </c>
      <c r="X37" s="315"/>
      <c r="Y37" s="300"/>
      <c r="Z37" s="312">
        <f>SUM(Z35:Z36)</f>
        <v>9807.4789600000004</v>
      </c>
      <c r="AA37" s="287">
        <f t="shared" si="42"/>
        <v>0.12741875469574762</v>
      </c>
      <c r="AB37" s="314">
        <f>SUM(AB35:AB36)</f>
        <v>12867</v>
      </c>
      <c r="AC37" s="287">
        <f t="shared" si="43"/>
        <v>0.15714268267363612</v>
      </c>
      <c r="AD37" s="251">
        <f t="shared" si="44"/>
        <v>-3059.5210399999996</v>
      </c>
      <c r="AE37" s="315"/>
    </row>
    <row r="38" spans="1:31" s="249" customFormat="1" ht="13" thickBot="1" x14ac:dyDescent="0.3">
      <c r="A38" s="249" t="s">
        <v>280</v>
      </c>
      <c r="B38"/>
      <c r="C38" s="292" t="s">
        <v>52</v>
      </c>
      <c r="D38" s="275">
        <f>SUMIF('IN Act'!$A:$A,$A38,'IN Act'!$Q:$Q)</f>
        <v>953.93402000000003</v>
      </c>
      <c r="E38" s="287">
        <f t="shared" si="32"/>
        <v>1.2393509625261374E-2</v>
      </c>
      <c r="F38" s="275">
        <f>SUMIF('IN Bdg'!$A:$A,$A38,'IN Bdg'!$Q:$Q)</f>
        <v>59.694250000000011</v>
      </c>
      <c r="G38" s="287">
        <f t="shared" si="32"/>
        <v>7.400128167941672E-4</v>
      </c>
      <c r="H38" s="251">
        <f t="shared" si="33"/>
        <v>894.23977000000002</v>
      </c>
      <c r="I38" s="282">
        <f t="shared" si="34"/>
        <v>14.980333449201554</v>
      </c>
      <c r="J38" s="301"/>
      <c r="K38" s="275">
        <f>SUMIF('IN Act'!$A:$A,$A38,'IN Act'!$Q:$Q)</f>
        <v>953.93402000000003</v>
      </c>
      <c r="L38" s="287">
        <f t="shared" si="35"/>
        <v>1.2393509625261374E-2</v>
      </c>
      <c r="M38" s="275">
        <f>SUMIF('IN Py'!$A:$A,$A38,'IN Py'!$Q:$Q)</f>
        <v>79</v>
      </c>
      <c r="N38" s="287">
        <f t="shared" si="36"/>
        <v>9.6481479219843428E-4</v>
      </c>
      <c r="O38" s="251">
        <f t="shared" si="37"/>
        <v>874.93402000000003</v>
      </c>
      <c r="P38" s="282">
        <f>IF(M38=0,"-",O38/M38)</f>
        <v>11.075114177215191</v>
      </c>
      <c r="Q38" s="301"/>
      <c r="R38" s="301"/>
      <c r="S38" s="275">
        <f>SUMIF('IN Act'!$A:$A,$A38,'IN Act'!$Q:$Q)</f>
        <v>953.93402000000003</v>
      </c>
      <c r="T38" s="287">
        <f t="shared" si="38"/>
        <v>1.2393509625261374E-2</v>
      </c>
      <c r="U38" s="275">
        <f>SUMIF('IN Py'!$A:$A,$A38,'IN Py'!$O:$O)</f>
        <v>59.694250000000011</v>
      </c>
      <c r="V38" s="287">
        <f t="shared" si="39"/>
        <v>7.3802104183591532E-4</v>
      </c>
      <c r="W38" s="251">
        <f t="shared" si="40"/>
        <v>894.23977000000002</v>
      </c>
      <c r="X38" s="282">
        <f t="shared" si="41"/>
        <v>14.980333449201554</v>
      </c>
      <c r="Y38" s="301"/>
      <c r="Z38" s="275">
        <f>SUMIF('IN Act'!$A:$A,$A38,'IN Act'!$Q:$Q)</f>
        <v>953.93402000000003</v>
      </c>
      <c r="AA38" s="287">
        <f t="shared" si="42"/>
        <v>1.2393509625261374E-2</v>
      </c>
      <c r="AB38" s="251">
        <f>SUMIF('IN Py'!$A:$A,$A38,'IN Py'!$Q:$Q)</f>
        <v>79</v>
      </c>
      <c r="AC38" s="287">
        <f t="shared" si="43"/>
        <v>9.6481479219843428E-4</v>
      </c>
      <c r="AD38" s="251">
        <f t="shared" si="44"/>
        <v>874.93402000000003</v>
      </c>
      <c r="AE38" s="282">
        <f>IF(AB38=0,"-",AD38/AB38)</f>
        <v>11.075114177215191</v>
      </c>
    </row>
    <row r="39" spans="1:31" s="249" customFormat="1" ht="13.5" thickBot="1" x14ac:dyDescent="0.35">
      <c r="A39" s="386"/>
      <c r="B39" s="8"/>
      <c r="C39" s="253" t="s">
        <v>339</v>
      </c>
      <c r="D39" s="253">
        <f>D34+D37+D38</f>
        <v>78665.412980000008</v>
      </c>
      <c r="E39" s="196">
        <f t="shared" si="32"/>
        <v>1.022020949565035</v>
      </c>
      <c r="F39" s="253">
        <f>F34+F37+F38</f>
        <v>77870.962190901511</v>
      </c>
      <c r="G39" s="196">
        <f t="shared" si="32"/>
        <v>0.96534440213858297</v>
      </c>
      <c r="H39" s="257">
        <f t="shared" si="33"/>
        <v>794.4507890984969</v>
      </c>
      <c r="I39" s="198">
        <f t="shared" si="34"/>
        <v>1.0202144249237504E-2</v>
      </c>
      <c r="J39" s="301"/>
      <c r="K39" s="253">
        <f>K34+K37+K38</f>
        <v>78665.412980000008</v>
      </c>
      <c r="L39" s="196">
        <f t="shared" si="35"/>
        <v>1.022020949565035</v>
      </c>
      <c r="M39" s="253">
        <f>M34+M37+M38</f>
        <v>83002</v>
      </c>
      <c r="N39" s="196">
        <f t="shared" si="36"/>
        <v>1.0136905997728411</v>
      </c>
      <c r="O39" s="257">
        <f t="shared" si="37"/>
        <v>-4336.5870199999918</v>
      </c>
      <c r="P39" s="198">
        <f>IF(M39=0,"-",O39/M39)</f>
        <v>-5.2246777427049848E-2</v>
      </c>
      <c r="Q39" s="301"/>
      <c r="R39" s="301"/>
      <c r="S39" s="253">
        <f>S34+S37+S38</f>
        <v>78665.412980000008</v>
      </c>
      <c r="T39" s="196">
        <f t="shared" si="38"/>
        <v>1.022020949565035</v>
      </c>
      <c r="U39" s="253">
        <f>U34+U37+U38</f>
        <v>78269.054072489511</v>
      </c>
      <c r="V39" s="196">
        <f t="shared" si="39"/>
        <v>0.96766788811468918</v>
      </c>
      <c r="W39" s="257">
        <f t="shared" si="40"/>
        <v>396.35890751049737</v>
      </c>
      <c r="X39" s="198">
        <f t="shared" si="41"/>
        <v>5.0640564423252953E-3</v>
      </c>
      <c r="Y39" s="301"/>
      <c r="Z39" s="253">
        <f>Z34+Z37+Z38</f>
        <v>78665.412980000008</v>
      </c>
      <c r="AA39" s="196">
        <f t="shared" si="42"/>
        <v>1.022020949565035</v>
      </c>
      <c r="AB39" s="257">
        <f>AB34+AB37+AB38</f>
        <v>83002</v>
      </c>
      <c r="AC39" s="196">
        <f t="shared" si="43"/>
        <v>1.0136905997728411</v>
      </c>
      <c r="AD39" s="257">
        <f t="shared" si="44"/>
        <v>-4336.5870199999918</v>
      </c>
      <c r="AE39" s="198">
        <f>IF(AB39=0,"-",AD39/AB39)</f>
        <v>-5.2246777427049848E-2</v>
      </c>
    </row>
    <row r="40" spans="1:31" s="249" customFormat="1" ht="25.5" customHeight="1" x14ac:dyDescent="0.3">
      <c r="B40"/>
      <c r="C40" s="293" t="s">
        <v>281</v>
      </c>
      <c r="D40" s="274"/>
      <c r="E40" s="286"/>
      <c r="F40" s="274"/>
      <c r="G40" s="286"/>
      <c r="H40" s="252"/>
      <c r="I40" s="281"/>
      <c r="J40" s="301"/>
      <c r="K40" s="274"/>
      <c r="L40" s="286"/>
      <c r="M40" s="274"/>
      <c r="N40" s="286"/>
      <c r="O40" s="387"/>
      <c r="P40" s="281"/>
      <c r="Q40" s="301"/>
      <c r="R40" s="301"/>
      <c r="S40" s="274"/>
      <c r="T40" s="286"/>
      <c r="U40" s="274"/>
      <c r="V40" s="286"/>
      <c r="W40" s="387"/>
      <c r="X40" s="281"/>
      <c r="Y40" s="301"/>
      <c r="Z40" s="274"/>
      <c r="AA40" s="286"/>
      <c r="AB40" s="252"/>
      <c r="AC40" s="286"/>
      <c r="AD40" s="252"/>
      <c r="AE40" s="281"/>
    </row>
    <row r="41" spans="1:31" s="249" customFormat="1" x14ac:dyDescent="0.25">
      <c r="B41"/>
      <c r="C41" s="274" t="s">
        <v>282</v>
      </c>
      <c r="D41" s="274"/>
      <c r="E41" s="286"/>
      <c r="F41" s="274"/>
      <c r="G41" s="286"/>
      <c r="H41" s="252"/>
      <c r="I41" s="281"/>
      <c r="J41" s="301"/>
      <c r="K41" s="274"/>
      <c r="L41" s="286"/>
      <c r="M41" s="274"/>
      <c r="N41" s="286"/>
      <c r="O41" s="387"/>
      <c r="P41" s="281"/>
      <c r="Q41" s="301"/>
      <c r="R41" s="301"/>
      <c r="S41" s="274"/>
      <c r="T41" s="286"/>
      <c r="U41" s="274"/>
      <c r="V41" s="286"/>
      <c r="W41" s="387"/>
      <c r="X41" s="281"/>
      <c r="Y41" s="301"/>
      <c r="Z41" s="274"/>
      <c r="AA41" s="286"/>
      <c r="AB41" s="252"/>
      <c r="AC41" s="286"/>
      <c r="AD41" s="252"/>
      <c r="AE41" s="281"/>
    </row>
    <row r="42" spans="1:31" s="249" customFormat="1" x14ac:dyDescent="0.25">
      <c r="A42" s="249" t="s">
        <v>283</v>
      </c>
      <c r="B42"/>
      <c r="C42" s="292" t="s">
        <v>284</v>
      </c>
      <c r="D42" s="275">
        <f>SUMIF('IN Act'!$A:$A,$A42,'IN Act'!$Q:$Q)</f>
        <v>0</v>
      </c>
      <c r="E42" s="287">
        <f>D42/D$45</f>
        <v>0</v>
      </c>
      <c r="F42" s="275">
        <f>SUMIF('IN Bdg'!$A:$A,$A42,'IN Bdg'!$Q:$Q)</f>
        <v>-5645</v>
      </c>
      <c r="G42" s="287">
        <f>F42/F$45</f>
        <v>-6.9979476261165408E-2</v>
      </c>
      <c r="H42" s="251">
        <f t="shared" ref="H42:H47" si="45">D42-F42</f>
        <v>5645</v>
      </c>
      <c r="I42" s="282">
        <f t="shared" ref="I42:I47" si="46">IF(F42=0,"-",H42/F42)</f>
        <v>-1</v>
      </c>
      <c r="J42" s="301"/>
      <c r="K42" s="275">
        <f>SUMIF('IN Act'!$A:$A,$A42,'IN Act'!$Q:$Q)</f>
        <v>0</v>
      </c>
      <c r="L42" s="287">
        <f>K42/K$45</f>
        <v>0</v>
      </c>
      <c r="M42" s="275">
        <f>SUMIF('IN Py'!$A:$A,$A42,'IN Py'!$Q:$Q)</f>
        <v>0</v>
      </c>
      <c r="N42" s="287">
        <f>M42/M$45</f>
        <v>0</v>
      </c>
      <c r="O42" s="251">
        <f>K42-M42</f>
        <v>0</v>
      </c>
      <c r="P42" s="282" t="str">
        <f>IF(M42=0,"-",O42/M42)</f>
        <v>-</v>
      </c>
      <c r="Q42" s="301"/>
      <c r="R42" s="301"/>
      <c r="S42" s="275">
        <f>SUMIF('IN Act'!$A:$A,$A42,'IN Act'!$Q:$Q)</f>
        <v>0</v>
      </c>
      <c r="T42" s="287">
        <f>S42/S$45</f>
        <v>0</v>
      </c>
      <c r="U42" s="275">
        <f>SUMIF('IN Py'!$A:$A,$A42,'IN Py'!$O:$O)</f>
        <v>-5804</v>
      </c>
      <c r="V42" s="287">
        <f>U42/U$45</f>
        <v>-7.1756896632684919E-2</v>
      </c>
      <c r="W42" s="251">
        <f>S42-U42</f>
        <v>5804</v>
      </c>
      <c r="X42" s="282">
        <f>IF(U42=0,"-",W42/U42)</f>
        <v>-1</v>
      </c>
      <c r="Y42" s="301"/>
      <c r="Z42" s="275">
        <f>SUMIF('IN Act'!$A:$A,$A42,'IN Act'!$Q:$Q)</f>
        <v>0</v>
      </c>
      <c r="AA42" s="287">
        <f>Z42/Z$45</f>
        <v>0</v>
      </c>
      <c r="AB42" s="251">
        <f>SUMIF('IN Py'!$A:$A,$A42,'IN Py'!$Q:$Q)</f>
        <v>0</v>
      </c>
      <c r="AC42" s="287">
        <f>AB42/AB$45</f>
        <v>0</v>
      </c>
      <c r="AD42" s="251">
        <f>Z42-AB42</f>
        <v>0</v>
      </c>
      <c r="AE42" s="282" t="str">
        <f>IF(AB42=0,"-",AD42/AB42)</f>
        <v>-</v>
      </c>
    </row>
    <row r="43" spans="1:31" s="249" customFormat="1" ht="13" thickBot="1" x14ac:dyDescent="0.3">
      <c r="A43" s="249" t="s">
        <v>285</v>
      </c>
      <c r="B43"/>
      <c r="C43" s="292" t="s">
        <v>286</v>
      </c>
      <c r="D43" s="275">
        <f>SUMIF('IN Act'!$A:$A,$A43,'IN Act'!$Q:$Q)</f>
        <v>-3338</v>
      </c>
      <c r="E43" s="287">
        <f>D43/D$45</f>
        <v>-4.3367291931912091E-2</v>
      </c>
      <c r="F43" s="275">
        <f>SUMIF('IN Bdg'!$A:$A,$A43,'IN Bdg'!$Q:$Q)</f>
        <v>-1612.6231600694489</v>
      </c>
      <c r="G43" s="287">
        <f>F43/F$45</f>
        <v>-1.9991235455852175E-2</v>
      </c>
      <c r="H43" s="251">
        <f t="shared" si="45"/>
        <v>-1725.3768399305511</v>
      </c>
      <c r="I43" s="282">
        <f t="shared" si="46"/>
        <v>1.0699194223753095</v>
      </c>
      <c r="J43" s="301"/>
      <c r="K43" s="275">
        <f>SUMIF('IN Act'!$A:$A,$A43,'IN Act'!$Q:$Q)</f>
        <v>-3338</v>
      </c>
      <c r="L43" s="287">
        <f>K43/K$45</f>
        <v>-4.3367291931912091E-2</v>
      </c>
      <c r="M43" s="275">
        <f>SUMIF('IN Py'!$A:$A,$A43,'IN Py'!$Q:$Q)</f>
        <v>-6444</v>
      </c>
      <c r="N43" s="287">
        <f>M43/M$45</f>
        <v>-7.8699576214262157E-2</v>
      </c>
      <c r="O43" s="251">
        <f>K43-M43</f>
        <v>3106</v>
      </c>
      <c r="P43" s="282">
        <f>IF(M43=0,"-",O43/M43)</f>
        <v>-0.4819987585350714</v>
      </c>
      <c r="Q43" s="301"/>
      <c r="R43" s="301"/>
      <c r="S43" s="275">
        <f>SUMIF('IN Act'!$A:$A,$A43,'IN Act'!$Q:$Q)</f>
        <v>-3338</v>
      </c>
      <c r="T43" s="287">
        <f>S43/S$45</f>
        <v>-4.3367291931912091E-2</v>
      </c>
      <c r="U43" s="275">
        <f>SUMIF('IN Py'!$A:$A,$A43,'IN Py'!$O:$O)</f>
        <v>-1567.87075</v>
      </c>
      <c r="V43" s="287">
        <f>U43/U$45</f>
        <v>-1.938413841164028E-2</v>
      </c>
      <c r="W43" s="251">
        <f>S43-U43</f>
        <v>-1770.12925</v>
      </c>
      <c r="X43" s="282">
        <f>IF(U43=0,"-",W43/U43)</f>
        <v>1.1290020239232093</v>
      </c>
      <c r="Y43" s="301"/>
      <c r="Z43" s="275">
        <f>SUMIF('IN Act'!$A:$A,$A43,'IN Act'!$Q:$Q)</f>
        <v>-3338</v>
      </c>
      <c r="AA43" s="287">
        <f>Z43/Z$45</f>
        <v>-4.3367291931912091E-2</v>
      </c>
      <c r="AB43" s="251">
        <f>SUMIF('IN Py'!$A:$A,$A43,'IN Py'!$Q:$Q)</f>
        <v>-6444</v>
      </c>
      <c r="AC43" s="287">
        <f>AB43/AB$45</f>
        <v>-7.8699576214262157E-2</v>
      </c>
      <c r="AD43" s="251">
        <f>Z43-AB43</f>
        <v>3106</v>
      </c>
      <c r="AE43" s="282">
        <f>IF(AB43=0,"-",AD43/AB43)</f>
        <v>-0.4819987585350714</v>
      </c>
    </row>
    <row r="44" spans="1:31" s="249" customFormat="1" ht="13.5" thickBot="1" x14ac:dyDescent="0.35">
      <c r="A44" s="386"/>
      <c r="B44" s="8"/>
      <c r="C44" s="276" t="s">
        <v>340</v>
      </c>
      <c r="D44" s="276">
        <f>SUM(D42:D43)</f>
        <v>-3338</v>
      </c>
      <c r="E44" s="288">
        <f>D44/D$45</f>
        <v>-4.3367291931912091E-2</v>
      </c>
      <c r="F44" s="276">
        <f>SUM(F42:F43)</f>
        <v>-7257.6231600694491</v>
      </c>
      <c r="G44" s="288">
        <f>F44/F$45</f>
        <v>-8.9970711717017579E-2</v>
      </c>
      <c r="H44" s="259">
        <f t="shared" si="45"/>
        <v>3919.6231600694491</v>
      </c>
      <c r="I44" s="283">
        <f t="shared" si="46"/>
        <v>-0.54006980985658415</v>
      </c>
      <c r="J44" s="301"/>
      <c r="K44" s="276">
        <f>SUM(K42:K43)</f>
        <v>-3338</v>
      </c>
      <c r="L44" s="288">
        <f>K44/K$45</f>
        <v>-4.3367291931912091E-2</v>
      </c>
      <c r="M44" s="276">
        <f>SUM(M42:M43)</f>
        <v>-6444</v>
      </c>
      <c r="N44" s="288">
        <f>M44/M$45</f>
        <v>-7.8699576214262157E-2</v>
      </c>
      <c r="O44" s="259">
        <f>K44-M44</f>
        <v>3106</v>
      </c>
      <c r="P44" s="283">
        <f>IF(M44=0,"-",O44/M44)</f>
        <v>-0.4819987585350714</v>
      </c>
      <c r="Q44" s="301"/>
      <c r="R44" s="301"/>
      <c r="S44" s="276">
        <f>SUM(S42:S43)</f>
        <v>-3338</v>
      </c>
      <c r="T44" s="288">
        <f>S44/S$45</f>
        <v>-4.3367291931912091E-2</v>
      </c>
      <c r="U44" s="276">
        <f>SUM(U42:U43)</f>
        <v>-7371.87075</v>
      </c>
      <c r="V44" s="288">
        <f>U44/U$45</f>
        <v>-9.1141035044325192E-2</v>
      </c>
      <c r="W44" s="259">
        <f>S44-U44</f>
        <v>4033.87075</v>
      </c>
      <c r="X44" s="283">
        <f>IF(U44=0,"-",W44/U44)</f>
        <v>-0.54719770419197866</v>
      </c>
      <c r="Y44" s="301"/>
      <c r="Z44" s="276">
        <f>SUM(Z42:Z43)</f>
        <v>-3338</v>
      </c>
      <c r="AA44" s="288">
        <f>Z44/Z$45</f>
        <v>-4.3367291931912091E-2</v>
      </c>
      <c r="AB44" s="259">
        <f>SUM(AB42:AB43)</f>
        <v>-6444</v>
      </c>
      <c r="AC44" s="288">
        <f>AB44/AB$45</f>
        <v>-7.8699576214262157E-2</v>
      </c>
      <c r="AD44" s="259">
        <f>Z44-AB44</f>
        <v>3106</v>
      </c>
      <c r="AE44" s="283">
        <f>IF(AB44=0,"-",AD44/AB44)</f>
        <v>-0.4819987585350714</v>
      </c>
    </row>
    <row r="45" spans="1:31" s="249" customFormat="1" ht="27" customHeight="1" thickBot="1" x14ac:dyDescent="0.35">
      <c r="A45" s="386"/>
      <c r="B45" s="8"/>
      <c r="C45" s="277" t="s">
        <v>53</v>
      </c>
      <c r="D45" s="277">
        <f>D44+D39+D30</f>
        <v>76970.450570000015</v>
      </c>
      <c r="E45" s="289">
        <f>D45/D$45</f>
        <v>1</v>
      </c>
      <c r="F45" s="277">
        <f>F44+F39+F30</f>
        <v>80666.50826211815</v>
      </c>
      <c r="G45" s="289">
        <f>F45/F$45</f>
        <v>1</v>
      </c>
      <c r="H45" s="256">
        <f t="shared" si="45"/>
        <v>-3696.0576921181346</v>
      </c>
      <c r="I45" s="284">
        <f t="shared" si="46"/>
        <v>-4.5818986984141503E-2</v>
      </c>
      <c r="J45" s="301"/>
      <c r="K45" s="277">
        <f>K44+K39+K30</f>
        <v>76970.450570000015</v>
      </c>
      <c r="L45" s="289">
        <f>K45/K$45</f>
        <v>1</v>
      </c>
      <c r="M45" s="277">
        <f>M44+M39+M30</f>
        <v>81881</v>
      </c>
      <c r="N45" s="289">
        <f>M45/M$45</f>
        <v>1</v>
      </c>
      <c r="O45" s="256">
        <f>K45-M45</f>
        <v>-4910.5494299999846</v>
      </c>
      <c r="P45" s="284">
        <f>IF(M45=0,"-",O45/M45)</f>
        <v>-5.9971781365640194E-2</v>
      </c>
      <c r="Q45" s="301"/>
      <c r="R45" s="301"/>
      <c r="S45" s="277">
        <f>S44+S39+S30</f>
        <v>76970.450570000015</v>
      </c>
      <c r="T45" s="289">
        <f>S45/S$45</f>
        <v>1</v>
      </c>
      <c r="U45" s="277">
        <f>U44+U39+U30</f>
        <v>80884.211446740665</v>
      </c>
      <c r="V45" s="289">
        <f>U45/U$45</f>
        <v>1</v>
      </c>
      <c r="W45" s="256">
        <f>S45-U45</f>
        <v>-3913.7608767406491</v>
      </c>
      <c r="X45" s="284">
        <f>IF(U45=0,"-",W45/U45)</f>
        <v>-4.8387204458532916E-2</v>
      </c>
      <c r="Y45" s="301"/>
      <c r="Z45" s="277">
        <f>Z44+Z39+Z30</f>
        <v>76970.450570000015</v>
      </c>
      <c r="AA45" s="289">
        <f>Z45/Z$45</f>
        <v>1</v>
      </c>
      <c r="AB45" s="256">
        <f>AB44+AB39+AB30</f>
        <v>81881</v>
      </c>
      <c r="AC45" s="289">
        <f>AB45/AB$45</f>
        <v>1</v>
      </c>
      <c r="AD45" s="256">
        <f>Z45-AB45</f>
        <v>-4910.5494299999846</v>
      </c>
      <c r="AE45" s="284">
        <f>IF(AB45=0,"-",AD45/AB45)</f>
        <v>-5.9971781365640194E-2</v>
      </c>
    </row>
    <row r="46" spans="1:31" s="255" customFormat="1" ht="13.5" thickBot="1" x14ac:dyDescent="0.35">
      <c r="B46"/>
      <c r="C46" s="253"/>
      <c r="D46" s="253"/>
      <c r="E46" s="290"/>
      <c r="F46" s="253"/>
      <c r="G46" s="290"/>
      <c r="H46" s="257"/>
      <c r="I46" s="291"/>
      <c r="J46" s="301"/>
      <c r="K46" s="253"/>
      <c r="L46" s="290"/>
      <c r="M46" s="253"/>
      <c r="N46" s="290"/>
      <c r="O46" s="257"/>
      <c r="P46" s="291"/>
      <c r="Q46" s="301"/>
      <c r="R46" s="301"/>
      <c r="S46" s="253"/>
      <c r="T46" s="290"/>
      <c r="U46" s="253"/>
      <c r="V46" s="290"/>
      <c r="W46" s="257"/>
      <c r="X46" s="291"/>
      <c r="Y46" s="301"/>
      <c r="Z46" s="253"/>
      <c r="AA46" s="290"/>
      <c r="AB46" s="257"/>
      <c r="AC46" s="290"/>
      <c r="AD46" s="257"/>
      <c r="AE46" s="291"/>
    </row>
    <row r="47" spans="1:31" s="249" customFormat="1" ht="15.75" customHeight="1" thickBot="1" x14ac:dyDescent="0.35">
      <c r="A47" s="386" t="s">
        <v>287</v>
      </c>
      <c r="B47" s="8"/>
      <c r="C47" s="253" t="s">
        <v>343</v>
      </c>
      <c r="D47" s="253">
        <f>-SUMIF('IN Act'!$A:$A,$A47,'IN Act'!$Q:$Q)</f>
        <v>-78599.429430000004</v>
      </c>
      <c r="E47" s="196">
        <f>D47/D$57</f>
        <v>-1.021165226618473</v>
      </c>
      <c r="F47" s="253">
        <f>-SUMIF('IN Bdg'!$A:$A,$A47,'IN Bdg'!$Q:$Q)</f>
        <v>-75507.813033804676</v>
      </c>
      <c r="G47" s="196">
        <f>F47/F$57</f>
        <v>-0.93604910712695311</v>
      </c>
      <c r="H47" s="257">
        <f t="shared" si="45"/>
        <v>-3091.616396195328</v>
      </c>
      <c r="I47" s="198">
        <f t="shared" si="46"/>
        <v>4.0944324460982846E-2</v>
      </c>
      <c r="J47" s="301"/>
      <c r="K47" s="253">
        <f>-SUMIF('IN Act'!$A:$A,$A47,'IN Act'!$Q:$Q)</f>
        <v>-78599.429430000004</v>
      </c>
      <c r="L47" s="196">
        <f>K47/K$57</f>
        <v>-1.021165226618473</v>
      </c>
      <c r="M47" s="253">
        <f>-SUMIF('IN Py'!$A:$A,$A47,'IN Py'!$Q:$Q)</f>
        <v>-73695.399999999994</v>
      </c>
      <c r="N47" s="196">
        <f>M47/M$57</f>
        <v>-0.90003053211367712</v>
      </c>
      <c r="O47" s="257">
        <f>K47-M47</f>
        <v>-4904.0294300000096</v>
      </c>
      <c r="P47" s="198">
        <f>IF(M47=0,"-",O47/M47)</f>
        <v>6.6544579851659805E-2</v>
      </c>
      <c r="Q47" s="301"/>
      <c r="R47" s="301"/>
      <c r="S47" s="253">
        <f>-SUMIF('IN Act'!$A:$A,$A47,'IN Act'!$Q:$Q)</f>
        <v>-78599.429430000004</v>
      </c>
      <c r="T47" s="196">
        <f>S47/S$57</f>
        <v>-1.021165226618473</v>
      </c>
      <c r="U47" s="253">
        <f>-SUMIF('IN Py'!$A:$A,$A47,'IN Py'!$O:$O)</f>
        <v>-75376.014729999995</v>
      </c>
      <c r="V47" s="196">
        <f>U47/U$57</f>
        <v>-0.93190285378519888</v>
      </c>
      <c r="W47" s="257">
        <f>S47-U47</f>
        <v>-3223.4147000000085</v>
      </c>
      <c r="X47" s="198">
        <f>IF(U47=0,"-",W47/U47)</f>
        <v>4.2764461766072584E-2</v>
      </c>
      <c r="Y47" s="301"/>
      <c r="Z47" s="253">
        <f>-SUMIF('IN Act'!$A:$A,$A47,'IN Act'!$Q:$Q)</f>
        <v>-78599.429430000004</v>
      </c>
      <c r="AA47" s="196">
        <f>Z47/Z$57</f>
        <v>-1.021165226618473</v>
      </c>
      <c r="AB47" s="257">
        <f>-SUMIF('IN Py'!$A:$A,$A47,'IN Py'!$Q:$Q)</f>
        <v>-73695.399999999994</v>
      </c>
      <c r="AC47" s="196">
        <f>AB47/AB$57</f>
        <v>-0.90003053211367712</v>
      </c>
      <c r="AD47" s="257">
        <f>Z47-AB47</f>
        <v>-4904.0294300000096</v>
      </c>
      <c r="AE47" s="198">
        <f>IF(AB47=0,"-",AD47/AB47)</f>
        <v>6.6544579851659805E-2</v>
      </c>
    </row>
    <row r="48" spans="1:31" s="249" customFormat="1" ht="25.5" customHeight="1" x14ac:dyDescent="0.3">
      <c r="B48"/>
      <c r="C48" s="293" t="s">
        <v>288</v>
      </c>
      <c r="D48" s="274"/>
      <c r="E48" s="286"/>
      <c r="F48" s="274"/>
      <c r="G48" s="286"/>
      <c r="H48" s="252"/>
      <c r="I48" s="281"/>
      <c r="J48" s="301"/>
      <c r="K48" s="274"/>
      <c r="L48" s="286"/>
      <c r="M48" s="274"/>
      <c r="N48" s="286"/>
      <c r="O48" s="252"/>
      <c r="P48" s="281"/>
      <c r="Q48" s="301"/>
      <c r="R48" s="301"/>
      <c r="S48" s="274"/>
      <c r="T48" s="286"/>
      <c r="U48" s="274"/>
      <c r="V48" s="286"/>
      <c r="W48" s="252"/>
      <c r="X48" s="281"/>
      <c r="Y48" s="301"/>
      <c r="Z48" s="274"/>
      <c r="AA48" s="286"/>
      <c r="AB48" s="252"/>
      <c r="AC48" s="286"/>
      <c r="AD48" s="252"/>
      <c r="AE48" s="281"/>
    </row>
    <row r="49" spans="1:32" s="249" customFormat="1" x14ac:dyDescent="0.25">
      <c r="A49" s="249" t="s">
        <v>289</v>
      </c>
      <c r="B49"/>
      <c r="C49" s="292" t="s">
        <v>55</v>
      </c>
      <c r="D49" s="275">
        <f>-SUMIF('IN Act'!$A:$A,$A49,'IN Act'!$Q:$Q)</f>
        <v>4100</v>
      </c>
      <c r="E49" s="287">
        <f t="shared" ref="E49:E55" si="47">D49/D$57</f>
        <v>5.3267275087085064E-2</v>
      </c>
      <c r="F49" s="275">
        <f>-SUMIF('IN Bdg'!$A:$A,$A49,'IN Bdg'!$Q:$Q)</f>
        <v>4100</v>
      </c>
      <c r="G49" s="287">
        <f t="shared" ref="G49:G57" si="48">F49/F$57</f>
        <v>5.0826546088711809E-2</v>
      </c>
      <c r="H49" s="251">
        <f t="shared" ref="H49:H56" si="49">D49-F49</f>
        <v>0</v>
      </c>
      <c r="I49" s="282">
        <f t="shared" ref="I49:I56" si="50">IF(F49=0,"-",H49/F49)</f>
        <v>0</v>
      </c>
      <c r="J49" s="301"/>
      <c r="K49" s="275">
        <f>-SUMIF('IN Act'!$A:$A,$A49,'IN Act'!$Q:$Q)</f>
        <v>4100</v>
      </c>
      <c r="L49" s="287">
        <f t="shared" ref="L49:L57" si="51">K49/K$57</f>
        <v>5.3267275087085064E-2</v>
      </c>
      <c r="M49" s="275">
        <f>-SUMIF('IN Py'!$A:$A,$A49,'IN Py'!$Q:$Q)</f>
        <v>4100</v>
      </c>
      <c r="N49" s="287">
        <f t="shared" ref="N49:N57" si="52">M49/M$57</f>
        <v>5.0072666430551652E-2</v>
      </c>
      <c r="O49" s="251">
        <f t="shared" ref="O49:O56" si="53">K49-M49</f>
        <v>0</v>
      </c>
      <c r="P49" s="282">
        <f t="shared" ref="P49:P56" si="54">IF(M49=0,"-",O49/M49)</f>
        <v>0</v>
      </c>
      <c r="Q49" s="301"/>
      <c r="R49" s="301"/>
      <c r="S49" s="275">
        <f>-SUMIF('IN Act'!$A:$A,$A49,'IN Act'!$Q:$Q)</f>
        <v>4100</v>
      </c>
      <c r="T49" s="287">
        <f t="shared" ref="T49:T57" si="55">S49/S$57</f>
        <v>5.3267275087085064E-2</v>
      </c>
      <c r="U49" s="275">
        <f>-SUMIF('IN Py'!$A:$A,$A49,'IN Py'!$O:$O)</f>
        <v>4100</v>
      </c>
      <c r="V49" s="287">
        <f t="shared" ref="V49:V57" si="56">U49/U$57</f>
        <v>5.0689887415852182E-2</v>
      </c>
      <c r="W49" s="251">
        <f t="shared" ref="W49:W56" si="57">S49-U49</f>
        <v>0</v>
      </c>
      <c r="X49" s="282">
        <f t="shared" ref="X49:X56" si="58">IF(U49=0,"-",W49/U49)</f>
        <v>0</v>
      </c>
      <c r="Y49" s="301"/>
      <c r="Z49" s="275">
        <f>-SUMIF('IN Act'!$A:$A,$A49,'IN Act'!$Q:$Q)</f>
        <v>4100</v>
      </c>
      <c r="AA49" s="287">
        <f t="shared" ref="AA49:AA57" si="59">Z49/Z$57</f>
        <v>5.3267275087085064E-2</v>
      </c>
      <c r="AB49" s="251">
        <f>-SUMIF('IN Py'!$A:$A,$A49,'IN Py'!$Q:$Q)</f>
        <v>4100</v>
      </c>
      <c r="AC49" s="287">
        <f t="shared" ref="AC49:AC57" si="60">AB49/AB$57</f>
        <v>5.0072666430551652E-2</v>
      </c>
      <c r="AD49" s="251">
        <f t="shared" ref="AD49:AD56" si="61">Z49-AB49</f>
        <v>0</v>
      </c>
      <c r="AE49" s="282">
        <f t="shared" ref="AE49:AE56" si="62">IF(AB49=0,"-",AD49/AB49)</f>
        <v>0</v>
      </c>
    </row>
    <row r="50" spans="1:32" s="249" customFormat="1" x14ac:dyDescent="0.25">
      <c r="A50" s="249" t="s">
        <v>290</v>
      </c>
      <c r="B50"/>
      <c r="C50" s="292" t="s">
        <v>56</v>
      </c>
      <c r="D50" s="275">
        <f>-SUMIF('IN Act'!$A:$A,$A50,'IN Act'!$Q:$Q)</f>
        <v>281.92897999999997</v>
      </c>
      <c r="E50" s="287">
        <f t="shared" si="47"/>
        <v>3.6628264713856832E-3</v>
      </c>
      <c r="F50" s="275">
        <f>-SUMIF('IN Bdg'!$A:$A,$A50,'IN Bdg'!$Q:$Q)</f>
        <v>281.92856999999998</v>
      </c>
      <c r="G50" s="287">
        <f t="shared" si="48"/>
        <v>3.4949891358121007E-3</v>
      </c>
      <c r="H50" s="251">
        <f t="shared" si="49"/>
        <v>4.0999999998803105E-4</v>
      </c>
      <c r="I50" s="282">
        <f t="shared" si="50"/>
        <v>1.4542690724392745E-6</v>
      </c>
      <c r="J50" s="301"/>
      <c r="K50" s="275">
        <f>-SUMIF('IN Act'!$A:$A,$A50,'IN Act'!$Q:$Q)</f>
        <v>281.92897999999997</v>
      </c>
      <c r="L50" s="287">
        <f t="shared" si="51"/>
        <v>3.6628264713856832E-3</v>
      </c>
      <c r="M50" s="275">
        <f>-SUMIF('IN Py'!$A:$A,$A50,'IN Py'!$Q:$Q)</f>
        <v>187</v>
      </c>
      <c r="N50" s="287">
        <f t="shared" si="52"/>
        <v>2.2838021030519903E-3</v>
      </c>
      <c r="O50" s="251">
        <f t="shared" si="53"/>
        <v>94.928979999999967</v>
      </c>
      <c r="P50" s="282">
        <f t="shared" si="54"/>
        <v>0.5076416042780747</v>
      </c>
      <c r="Q50" s="301"/>
      <c r="R50" s="301"/>
      <c r="S50" s="275">
        <f>-SUMIF('IN Act'!$A:$A,$A50,'IN Act'!$Q:$Q)</f>
        <v>281.92897999999997</v>
      </c>
      <c r="T50" s="287">
        <f t="shared" si="55"/>
        <v>3.6628264713856832E-3</v>
      </c>
      <c r="U50" s="275">
        <f>-SUMIF('IN Py'!$A:$A,$A50,'IN Py'!$O:$O)</f>
        <v>281.92856999999998</v>
      </c>
      <c r="V50" s="287">
        <f t="shared" si="56"/>
        <v>3.4855920664907804E-3</v>
      </c>
      <c r="W50" s="251">
        <f t="shared" si="57"/>
        <v>4.0999999998803105E-4</v>
      </c>
      <c r="X50" s="282">
        <f t="shared" si="58"/>
        <v>1.4542690724392745E-6</v>
      </c>
      <c r="Y50" s="301"/>
      <c r="Z50" s="275">
        <f>-SUMIF('IN Act'!$A:$A,$A50,'IN Act'!$Q:$Q)</f>
        <v>281.92897999999997</v>
      </c>
      <c r="AA50" s="287">
        <f t="shared" si="59"/>
        <v>3.6628264713856832E-3</v>
      </c>
      <c r="AB50" s="251">
        <f>-SUMIF('IN Py'!$A:$A,$A50,'IN Py'!$Q:$Q)</f>
        <v>187</v>
      </c>
      <c r="AC50" s="287">
        <f t="shared" si="60"/>
        <v>2.2838021030519903E-3</v>
      </c>
      <c r="AD50" s="251">
        <f t="shared" si="61"/>
        <v>94.928979999999967</v>
      </c>
      <c r="AE50" s="282">
        <f t="shared" si="62"/>
        <v>0.5076416042780747</v>
      </c>
    </row>
    <row r="51" spans="1:32" s="249" customFormat="1" x14ac:dyDescent="0.25">
      <c r="A51" s="249" t="s">
        <v>291</v>
      </c>
      <c r="B51"/>
      <c r="C51" s="292" t="s">
        <v>57</v>
      </c>
      <c r="D51" s="275">
        <f>-SUMIF('IN Act'!$A:$A,$A51,'IN Act'!$Q:$Q)</f>
        <v>145346.44427000001</v>
      </c>
      <c r="E51" s="287">
        <f t="shared" si="47"/>
        <v>1.8883436658194557</v>
      </c>
      <c r="F51" s="275">
        <f>-SUMIF('IN Bdg'!$A:$A,$A51,'IN Bdg'!$Q:$Q)</f>
        <v>145346.44427000001</v>
      </c>
      <c r="G51" s="287">
        <f t="shared" si="48"/>
        <v>1.8018189630535457</v>
      </c>
      <c r="H51" s="251">
        <f t="shared" si="49"/>
        <v>0</v>
      </c>
      <c r="I51" s="282">
        <f t="shared" si="50"/>
        <v>0</v>
      </c>
      <c r="J51" s="301"/>
      <c r="K51" s="275">
        <f>-SUMIF('IN Act'!$A:$A,$A51,'IN Act'!$Q:$Q)</f>
        <v>145346.44427000001</v>
      </c>
      <c r="L51" s="287">
        <f t="shared" si="51"/>
        <v>1.8883436658194557</v>
      </c>
      <c r="M51" s="275">
        <f>-SUMIF('IN Py'!$A:$A,$A51,'IN Py'!$Q:$Q)</f>
        <v>145346</v>
      </c>
      <c r="N51" s="287">
        <f t="shared" si="52"/>
        <v>1.7750882378085271</v>
      </c>
      <c r="O51" s="251">
        <f t="shared" si="53"/>
        <v>0.44427000000723638</v>
      </c>
      <c r="P51" s="282">
        <f t="shared" si="54"/>
        <v>3.0566372656092111E-6</v>
      </c>
      <c r="Q51" s="301"/>
      <c r="R51" s="301"/>
      <c r="S51" s="275">
        <f>-SUMIF('IN Act'!$A:$A,$A51,'IN Act'!$Q:$Q)</f>
        <v>145346.44427000001</v>
      </c>
      <c r="T51" s="287">
        <f t="shared" si="55"/>
        <v>1.8883436658194557</v>
      </c>
      <c r="U51" s="275">
        <f>-SUMIF('IN Py'!$A:$A,$A51,'IN Py'!$O:$O)</f>
        <v>145346.44427000001</v>
      </c>
      <c r="V51" s="287">
        <f t="shared" si="56"/>
        <v>1.7969743649611545</v>
      </c>
      <c r="W51" s="251">
        <f t="shared" si="57"/>
        <v>0</v>
      </c>
      <c r="X51" s="282">
        <f t="shared" si="58"/>
        <v>0</v>
      </c>
      <c r="Y51" s="301"/>
      <c r="Z51" s="275">
        <f>-SUMIF('IN Act'!$A:$A,$A51,'IN Act'!$Q:$Q)</f>
        <v>145346.44427000001</v>
      </c>
      <c r="AA51" s="287">
        <f t="shared" si="59"/>
        <v>1.8883436658194557</v>
      </c>
      <c r="AB51" s="251">
        <f>-SUMIF('IN Py'!$A:$A,$A51,'IN Py'!$Q:$Q)</f>
        <v>145346</v>
      </c>
      <c r="AC51" s="287">
        <f t="shared" si="60"/>
        <v>1.7750882378085271</v>
      </c>
      <c r="AD51" s="251">
        <f t="shared" si="61"/>
        <v>0.44427000000723638</v>
      </c>
      <c r="AE51" s="282">
        <f t="shared" si="62"/>
        <v>3.0566372656092111E-6</v>
      </c>
    </row>
    <row r="52" spans="1:32" s="249" customFormat="1" x14ac:dyDescent="0.25">
      <c r="A52" s="249" t="s">
        <v>292</v>
      </c>
      <c r="B52"/>
      <c r="C52" s="292" t="s">
        <v>58</v>
      </c>
      <c r="D52" s="275">
        <f>-SUMIF('IN Act'!$A:$A,$A52,'IN Act'!$Q:$Q)</f>
        <v>5356.6505199999992</v>
      </c>
      <c r="E52" s="287">
        <f t="shared" si="47"/>
        <v>6.9593701657126139E-2</v>
      </c>
      <c r="F52" s="275">
        <f>-SUMIF('IN Bdg'!$A:$A,$A52,'IN Bdg'!$Q:$Q)</f>
        <v>5356.6517899999999</v>
      </c>
      <c r="G52" s="287">
        <f t="shared" si="48"/>
        <v>6.6404904655028199E-2</v>
      </c>
      <c r="H52" s="251">
        <f t="shared" si="49"/>
        <v>-1.2700000006589107E-3</v>
      </c>
      <c r="I52" s="282">
        <f t="shared" si="50"/>
        <v>-2.3708839970329877E-7</v>
      </c>
      <c r="J52" s="301"/>
      <c r="K52" s="275">
        <f>-SUMIF('IN Act'!$A:$A,$A52,'IN Act'!$Q:$Q)</f>
        <v>5356.6505199999992</v>
      </c>
      <c r="L52" s="287">
        <f t="shared" si="51"/>
        <v>6.9593701657126139E-2</v>
      </c>
      <c r="M52" s="275">
        <f>-SUMIF('IN Py'!$A:$A,$A52,'IN Py'!$Q:$Q)</f>
        <v>0</v>
      </c>
      <c r="N52" s="287">
        <f t="shared" si="52"/>
        <v>0</v>
      </c>
      <c r="O52" s="251">
        <f t="shared" si="53"/>
        <v>5356.6505199999992</v>
      </c>
      <c r="P52" s="282" t="str">
        <f t="shared" si="54"/>
        <v>-</v>
      </c>
      <c r="Q52" s="301"/>
      <c r="R52" s="301"/>
      <c r="S52" s="275">
        <f>-SUMIF('IN Act'!$A:$A,$A52,'IN Act'!$Q:$Q)</f>
        <v>5356.6505199999992</v>
      </c>
      <c r="T52" s="287">
        <f t="shared" si="55"/>
        <v>6.9593701657126139E-2</v>
      </c>
      <c r="U52" s="275">
        <f>-SUMIF('IN Py'!$A:$A,$A52,'IN Py'!$O:$O)</f>
        <v>5356.6517899999999</v>
      </c>
      <c r="V52" s="287">
        <f t="shared" si="56"/>
        <v>6.6226360039273915E-2</v>
      </c>
      <c r="W52" s="251">
        <f t="shared" si="57"/>
        <v>-1.2700000006589107E-3</v>
      </c>
      <c r="X52" s="282">
        <f t="shared" si="58"/>
        <v>-2.3708839970329877E-7</v>
      </c>
      <c r="Y52" s="301"/>
      <c r="Z52" s="275">
        <f>-SUMIF('IN Act'!$A:$A,$A52,'IN Act'!$Q:$Q)</f>
        <v>5356.6505199999992</v>
      </c>
      <c r="AA52" s="287">
        <f t="shared" si="59"/>
        <v>6.9593701657126139E-2</v>
      </c>
      <c r="AB52" s="251">
        <f>-SUMIF('IN Py'!$A:$A,$A52,'IN Py'!$Q:$Q)</f>
        <v>0</v>
      </c>
      <c r="AC52" s="287">
        <f t="shared" si="60"/>
        <v>0</v>
      </c>
      <c r="AD52" s="251">
        <f t="shared" si="61"/>
        <v>5356.6505199999992</v>
      </c>
      <c r="AE52" s="282" t="str">
        <f t="shared" si="62"/>
        <v>-</v>
      </c>
    </row>
    <row r="53" spans="1:32" s="249" customFormat="1" x14ac:dyDescent="0.25">
      <c r="A53" s="249" t="s">
        <v>293</v>
      </c>
      <c r="B53"/>
      <c r="C53" s="292" t="s">
        <v>59</v>
      </c>
      <c r="D53" s="275">
        <f>-SUMIF('IN Act'!$A:$A,$A53,'IN Act'!$Q:$Q)</f>
        <v>1396.21011</v>
      </c>
      <c r="E53" s="287">
        <f t="shared" si="47"/>
        <v>1.8139587319204706E-2</v>
      </c>
      <c r="F53" s="275">
        <f>-SUMIF('IN Bdg'!$A:$A,$A53,'IN Bdg'!$Q:$Q)</f>
        <v>760.25543751261193</v>
      </c>
      <c r="G53" s="287">
        <f t="shared" si="48"/>
        <v>9.4246726912020802E-3</v>
      </c>
      <c r="H53" s="251">
        <f t="shared" si="49"/>
        <v>635.95467248738805</v>
      </c>
      <c r="I53" s="282">
        <f t="shared" si="50"/>
        <v>0.83650131404267414</v>
      </c>
      <c r="J53" s="301"/>
      <c r="K53" s="275">
        <f>-SUMIF('IN Act'!$A:$A,$A53,'IN Act'!$Q:$Q)</f>
        <v>1396.21011</v>
      </c>
      <c r="L53" s="287">
        <f t="shared" si="51"/>
        <v>1.8139587319204706E-2</v>
      </c>
      <c r="M53" s="275">
        <f>-SUMIF('IN Py'!$A:$A,$A53,'IN Py'!$Q:$Q)</f>
        <v>5851</v>
      </c>
      <c r="N53" s="287">
        <f t="shared" si="52"/>
        <v>7.1457358850038469E-2</v>
      </c>
      <c r="O53" s="251">
        <f t="shared" si="53"/>
        <v>-4454.78989</v>
      </c>
      <c r="P53" s="282">
        <f t="shared" si="54"/>
        <v>-0.76137239617159458</v>
      </c>
      <c r="Q53" s="301"/>
      <c r="R53" s="301"/>
      <c r="S53" s="275">
        <f>-SUMIF('IN Act'!$A:$A,$A53,'IN Act'!$Q:$Q)</f>
        <v>1396.21011</v>
      </c>
      <c r="T53" s="287">
        <f t="shared" si="55"/>
        <v>1.8139587319204706E-2</v>
      </c>
      <c r="U53" s="275">
        <f>-SUMIF('IN Py'!$A:$A,$A53,'IN Py'!$O:$O)</f>
        <v>402</v>
      </c>
      <c r="V53" s="287">
        <f t="shared" si="56"/>
        <v>4.9700816441884338E-3</v>
      </c>
      <c r="W53" s="251">
        <f t="shared" si="57"/>
        <v>994.21010999999999</v>
      </c>
      <c r="X53" s="282">
        <f t="shared" si="58"/>
        <v>2.4731594776119401</v>
      </c>
      <c r="Y53" s="301"/>
      <c r="Z53" s="275">
        <f>-SUMIF('IN Act'!$A:$A,$A53,'IN Act'!$Q:$Q)</f>
        <v>1396.21011</v>
      </c>
      <c r="AA53" s="287">
        <f t="shared" si="59"/>
        <v>1.8139587319204706E-2</v>
      </c>
      <c r="AB53" s="251">
        <f>-SUMIF('IN Py'!$A:$A,$A53,'IN Py'!$Q:$Q)</f>
        <v>5851</v>
      </c>
      <c r="AC53" s="287">
        <f t="shared" si="60"/>
        <v>7.1457358850038469E-2</v>
      </c>
      <c r="AD53" s="251">
        <f t="shared" si="61"/>
        <v>-4454.78989</v>
      </c>
      <c r="AE53" s="282">
        <f t="shared" si="62"/>
        <v>-0.76137239617159458</v>
      </c>
    </row>
    <row r="54" spans="1:32" s="249" customFormat="1" x14ac:dyDescent="0.25">
      <c r="A54" s="255" t="s">
        <v>294</v>
      </c>
      <c r="B54" s="381"/>
      <c r="C54" s="292" t="s">
        <v>60</v>
      </c>
      <c r="D54" s="275">
        <f>'P&amp;L'!$E101</f>
        <v>-911.46960000000081</v>
      </c>
      <c r="E54" s="287">
        <f t="shared" si="47"/>
        <v>-1.1841829735784251E-2</v>
      </c>
      <c r="F54" s="275">
        <f>'P&amp;L'!N37</f>
        <v>-69.054771589792807</v>
      </c>
      <c r="G54" s="287">
        <f t="shared" si="48"/>
        <v>-8.5605256850099286E-4</v>
      </c>
      <c r="H54" s="251">
        <f t="shared" si="49"/>
        <v>-842.41482841020797</v>
      </c>
      <c r="I54" s="282">
        <f t="shared" si="50"/>
        <v>12.199226918226863</v>
      </c>
      <c r="J54" s="301"/>
      <c r="K54" s="275">
        <f>'P&amp;L'!$E101</f>
        <v>-911.46960000000081</v>
      </c>
      <c r="L54" s="287">
        <f t="shared" si="51"/>
        <v>-1.1841829735784251E-2</v>
      </c>
      <c r="M54" s="275">
        <f>'P&amp;L'!N69</f>
        <v>-171.59999999999991</v>
      </c>
      <c r="N54" s="287">
        <f t="shared" si="52"/>
        <v>-2.0957242828006485E-3</v>
      </c>
      <c r="O54" s="251">
        <f t="shared" si="53"/>
        <v>-739.8696000000009</v>
      </c>
      <c r="P54" s="282">
        <f t="shared" si="54"/>
        <v>4.3115944055944135</v>
      </c>
      <c r="Q54" s="301"/>
      <c r="R54" s="301"/>
      <c r="S54" s="275">
        <f>'P&amp;L'!$E101</f>
        <v>-911.46960000000081</v>
      </c>
      <c r="T54" s="287">
        <f t="shared" si="55"/>
        <v>-1.1841829735784251E-2</v>
      </c>
      <c r="U54" s="275">
        <f>-SUMIF('IN Py'!$A:$A,$A54,'IN Py'!$O:$O)</f>
        <v>358.21725751263273</v>
      </c>
      <c r="V54" s="287">
        <f t="shared" si="56"/>
        <v>4.4287786472513857E-3</v>
      </c>
      <c r="W54" s="251">
        <f t="shared" si="57"/>
        <v>-1269.6868575126337</v>
      </c>
      <c r="X54" s="282">
        <f t="shared" si="58"/>
        <v>-3.5444603264761958</v>
      </c>
      <c r="Y54" s="301"/>
      <c r="Z54" s="275">
        <f>'P&amp;L'!$E101</f>
        <v>-911.46960000000081</v>
      </c>
      <c r="AA54" s="287">
        <f t="shared" si="59"/>
        <v>-1.1841829735784251E-2</v>
      </c>
      <c r="AB54" s="251">
        <f>'P&amp;L'!N101</f>
        <v>-171.59999999999991</v>
      </c>
      <c r="AC54" s="287">
        <f t="shared" si="60"/>
        <v>-2.0957242828006485E-3</v>
      </c>
      <c r="AD54" s="251">
        <f t="shared" si="61"/>
        <v>-739.8696000000009</v>
      </c>
      <c r="AE54" s="282">
        <f t="shared" si="62"/>
        <v>4.3115944055944135</v>
      </c>
    </row>
    <row r="55" spans="1:32" s="249" customFormat="1" ht="13" thickBot="1" x14ac:dyDescent="0.3">
      <c r="A55" s="249" t="s">
        <v>295</v>
      </c>
      <c r="B55"/>
      <c r="C55" s="292" t="s">
        <v>61</v>
      </c>
      <c r="D55" s="275">
        <f>-SUMIF('IN Act'!$A:$A,$A55,'IN Act'!$Q:$Q)</f>
        <v>0</v>
      </c>
      <c r="E55" s="287">
        <f t="shared" si="47"/>
        <v>0</v>
      </c>
      <c r="F55" s="275">
        <f>-SUMIF('IN Bdg'!$A:$A,$A55,'IN Bdg'!$Q:$Q)</f>
        <v>398.096</v>
      </c>
      <c r="G55" s="287">
        <f t="shared" si="48"/>
        <v>4.9350840711541019E-3</v>
      </c>
      <c r="H55" s="251">
        <f t="shared" si="49"/>
        <v>-398.096</v>
      </c>
      <c r="I55" s="282">
        <f t="shared" si="50"/>
        <v>-1</v>
      </c>
      <c r="J55" s="301"/>
      <c r="K55" s="275">
        <f>-SUMIF('IN Act'!$A:$A,$A55,'IN Act'!$Q:$Q)</f>
        <v>0</v>
      </c>
      <c r="L55" s="287">
        <f t="shared" si="51"/>
        <v>0</v>
      </c>
      <c r="M55" s="275">
        <f>-SUMIF('IN Py'!$A:$A,$A55,'IN Py'!$Q:$Q)</f>
        <v>264</v>
      </c>
      <c r="N55" s="287">
        <f t="shared" si="52"/>
        <v>3.2241912043086919E-3</v>
      </c>
      <c r="O55" s="251">
        <f t="shared" si="53"/>
        <v>-264</v>
      </c>
      <c r="P55" s="282">
        <f t="shared" si="54"/>
        <v>-1</v>
      </c>
      <c r="Q55" s="301"/>
      <c r="R55" s="301"/>
      <c r="S55" s="275">
        <f>-SUMIF('IN Act'!$A:$A,$A55,'IN Act'!$Q:$Q)</f>
        <v>0</v>
      </c>
      <c r="T55" s="287">
        <f t="shared" si="55"/>
        <v>0</v>
      </c>
      <c r="U55" s="275">
        <f>-SUMIF('IN Py'!$A:$A,$A55,'IN Py'!$O:$O)</f>
        <v>414.75600000000003</v>
      </c>
      <c r="V55" s="287">
        <f t="shared" si="56"/>
        <v>5.1277890109876073E-3</v>
      </c>
      <c r="W55" s="251">
        <f t="shared" si="57"/>
        <v>-414.75600000000003</v>
      </c>
      <c r="X55" s="282">
        <f t="shared" si="58"/>
        <v>-1</v>
      </c>
      <c r="Y55" s="301"/>
      <c r="Z55" s="275">
        <f>-SUMIF('IN Act'!$A:$A,$A55,'IN Act'!$Q:$Q)</f>
        <v>0</v>
      </c>
      <c r="AA55" s="287">
        <f t="shared" si="59"/>
        <v>0</v>
      </c>
      <c r="AB55" s="251">
        <f>-SUMIF('IN Py'!$A:$A,$A55,'IN Py'!$Q:$Q)</f>
        <v>264</v>
      </c>
      <c r="AC55" s="287">
        <f t="shared" si="60"/>
        <v>3.2241912043086919E-3</v>
      </c>
      <c r="AD55" s="251">
        <f t="shared" si="61"/>
        <v>-264</v>
      </c>
      <c r="AE55" s="282">
        <f t="shared" si="62"/>
        <v>-1</v>
      </c>
    </row>
    <row r="56" spans="1:32" s="249" customFormat="1" ht="13.5" thickBot="1" x14ac:dyDescent="0.35">
      <c r="C56" s="278" t="s">
        <v>341</v>
      </c>
      <c r="D56" s="278">
        <f>SUM(D49:D55)</f>
        <v>155569.76428</v>
      </c>
      <c r="E56" s="196">
        <f>D56/D$57</f>
        <v>2.0211652266184732</v>
      </c>
      <c r="F56" s="278">
        <f>SUM(F49:F55)</f>
        <v>156174.32129592283</v>
      </c>
      <c r="G56" s="196">
        <f t="shared" si="48"/>
        <v>1.936049107126953</v>
      </c>
      <c r="H56" s="254">
        <f t="shared" si="49"/>
        <v>-604.55701592282276</v>
      </c>
      <c r="I56" s="198">
        <f t="shared" si="50"/>
        <v>-3.8710398156768275E-3</v>
      </c>
      <c r="J56" s="301"/>
      <c r="K56" s="278">
        <f>SUM(K49:K55)</f>
        <v>155569.76428</v>
      </c>
      <c r="L56" s="196">
        <f t="shared" si="51"/>
        <v>2.0211652266184732</v>
      </c>
      <c r="M56" s="278">
        <f>SUM(M49:M55)</f>
        <v>155576.4</v>
      </c>
      <c r="N56" s="196">
        <f t="shared" si="52"/>
        <v>1.900030532113677</v>
      </c>
      <c r="O56" s="254">
        <f t="shared" si="53"/>
        <v>-6.6357199999911245</v>
      </c>
      <c r="P56" s="198">
        <f t="shared" si="54"/>
        <v>-4.2652484567010965E-5</v>
      </c>
      <c r="Q56" s="301"/>
      <c r="R56" s="301"/>
      <c r="S56" s="278">
        <f>SUM(S49:S55)</f>
        <v>155569.76428</v>
      </c>
      <c r="T56" s="196">
        <f t="shared" si="55"/>
        <v>2.0211652266184732</v>
      </c>
      <c r="U56" s="278">
        <f>SUM(U49:U55)</f>
        <v>156259.99788751264</v>
      </c>
      <c r="V56" s="196">
        <f t="shared" si="56"/>
        <v>1.931902853785199</v>
      </c>
      <c r="W56" s="254">
        <f t="shared" si="57"/>
        <v>-690.23360751263681</v>
      </c>
      <c r="X56" s="198">
        <f t="shared" si="58"/>
        <v>-4.4172124462046733E-3</v>
      </c>
      <c r="Y56" s="301"/>
      <c r="Z56" s="278">
        <f>SUM(Z49:Z55)</f>
        <v>155569.76428</v>
      </c>
      <c r="AA56" s="196">
        <f t="shared" si="59"/>
        <v>2.0211652266184732</v>
      </c>
      <c r="AB56" s="254">
        <f>SUM(AB49:AB55)</f>
        <v>155576.4</v>
      </c>
      <c r="AC56" s="196">
        <f t="shared" si="60"/>
        <v>1.900030532113677</v>
      </c>
      <c r="AD56" s="254">
        <f t="shared" si="61"/>
        <v>-6.6357199999911245</v>
      </c>
      <c r="AE56" s="198">
        <f t="shared" si="62"/>
        <v>-4.2652484567010965E-5</v>
      </c>
    </row>
    <row r="57" spans="1:32" s="249" customFormat="1" ht="25.5" customHeight="1" thickBot="1" x14ac:dyDescent="0.35">
      <c r="C57" s="277" t="s">
        <v>62</v>
      </c>
      <c r="D57" s="277">
        <f>D56+D47</f>
        <v>76970.334849999999</v>
      </c>
      <c r="E57" s="289">
        <f>D57/D$57</f>
        <v>1</v>
      </c>
      <c r="F57" s="277">
        <f>F56+F47</f>
        <v>80666.50826211815</v>
      </c>
      <c r="G57" s="289">
        <f t="shared" si="48"/>
        <v>1</v>
      </c>
      <c r="H57" s="256">
        <f>D57-F57</f>
        <v>-3696.1734121181507</v>
      </c>
      <c r="I57" s="284">
        <f>IF(F57=0,"-",H57/F57)</f>
        <v>-4.5820421532413259E-2</v>
      </c>
      <c r="J57" s="301"/>
      <c r="K57" s="277">
        <f>K56+K47</f>
        <v>76970.334849999999</v>
      </c>
      <c r="L57" s="289">
        <f t="shared" si="51"/>
        <v>1</v>
      </c>
      <c r="M57" s="277">
        <f>M56+M47</f>
        <v>81881</v>
      </c>
      <c r="N57" s="289">
        <f t="shared" si="52"/>
        <v>1</v>
      </c>
      <c r="O57" s="256">
        <f>K57-M57</f>
        <v>-4910.6651500000007</v>
      </c>
      <c r="P57" s="284">
        <f>IF(M57=0,"-",O57/M57)</f>
        <v>-5.9973194636118277E-2</v>
      </c>
      <c r="Q57" s="301"/>
      <c r="R57" s="301"/>
      <c r="S57" s="277">
        <f>S56+S47</f>
        <v>76970.334849999999</v>
      </c>
      <c r="T57" s="289">
        <f t="shared" si="55"/>
        <v>1</v>
      </c>
      <c r="U57" s="277">
        <f>U56+U47</f>
        <v>80883.983157512645</v>
      </c>
      <c r="V57" s="289">
        <f t="shared" si="56"/>
        <v>1</v>
      </c>
      <c r="W57" s="256">
        <f>S57-U57</f>
        <v>-3913.6483075126453</v>
      </c>
      <c r="X57" s="284">
        <f>IF(U57=0,"-",W57/U57)</f>
        <v>-4.8385949290989369E-2</v>
      </c>
      <c r="Y57" s="301"/>
      <c r="Z57" s="277">
        <f>Z56+Z47</f>
        <v>76970.334849999999</v>
      </c>
      <c r="AA57" s="289">
        <f t="shared" si="59"/>
        <v>1</v>
      </c>
      <c r="AB57" s="256">
        <f>AB56+AB47</f>
        <v>81881</v>
      </c>
      <c r="AC57" s="289">
        <f t="shared" si="60"/>
        <v>1</v>
      </c>
      <c r="AD57" s="256">
        <f>Z57-AB57</f>
        <v>-4910.6651500000007</v>
      </c>
      <c r="AE57" s="284">
        <f>IF(AB57=0,"-",AD57/AB57)</f>
        <v>-5.9973194636118277E-2</v>
      </c>
    </row>
    <row r="58" spans="1:32" s="249" customFormat="1" x14ac:dyDescent="0.25">
      <c r="C58" s="255"/>
      <c r="G58" s="233"/>
      <c r="I58" s="233"/>
      <c r="J58" s="233"/>
      <c r="N58" s="233"/>
      <c r="P58" s="233"/>
      <c r="Q58" s="233"/>
      <c r="R58" s="233"/>
      <c r="V58" s="233"/>
      <c r="X58" s="233"/>
      <c r="Y58" s="233"/>
      <c r="AC58" s="233"/>
      <c r="AE58" s="233"/>
    </row>
    <row r="59" spans="1:32" s="249" customFormat="1" hidden="1" outlineLevel="1" x14ac:dyDescent="0.25">
      <c r="C59" s="255" t="s">
        <v>342</v>
      </c>
      <c r="D59" s="260">
        <f>D57-D45</f>
        <v>-0.11572000001615379</v>
      </c>
      <c r="E59" s="260"/>
      <c r="F59" s="260">
        <f>F57-F45</f>
        <v>0</v>
      </c>
      <c r="G59" s="361"/>
      <c r="H59" s="260">
        <f>H57-H45</f>
        <v>-0.11572000001615379</v>
      </c>
      <c r="I59" s="361"/>
      <c r="J59" s="361"/>
      <c r="K59" s="260">
        <f>K57-K45</f>
        <v>-0.11572000001615379</v>
      </c>
      <c r="L59" s="260"/>
      <c r="M59" s="260">
        <f>M57-M45</f>
        <v>0</v>
      </c>
      <c r="N59" s="361"/>
      <c r="O59" s="260">
        <f>O57-O45</f>
        <v>-0.11572000001615379</v>
      </c>
      <c r="P59" s="361"/>
      <c r="Q59" s="361"/>
      <c r="R59" s="361"/>
      <c r="S59" s="260">
        <f>S57-S45</f>
        <v>-0.11572000001615379</v>
      </c>
      <c r="T59" s="260"/>
      <c r="U59" s="260">
        <f>U57-U45</f>
        <v>-0.22828922802000307</v>
      </c>
      <c r="V59" s="361"/>
      <c r="W59" s="260">
        <f>W57-W45</f>
        <v>0.11256922800384928</v>
      </c>
      <c r="X59" s="361"/>
      <c r="Y59" s="361"/>
      <c r="Z59" s="260">
        <f>Z57-Z45</f>
        <v>-0.11572000001615379</v>
      </c>
      <c r="AA59" s="260"/>
      <c r="AB59" s="260">
        <f>AB57-AB45</f>
        <v>0</v>
      </c>
      <c r="AC59" s="361"/>
      <c r="AD59" s="260">
        <f>AD57-AD45</f>
        <v>-0.11572000001615379</v>
      </c>
      <c r="AE59" s="361"/>
      <c r="AF59" s="260"/>
    </row>
    <row r="60" spans="1:32" s="249" customFormat="1" hidden="1" outlineLevel="1" x14ac:dyDescent="0.25">
      <c r="C60" s="255"/>
      <c r="D60" s="260"/>
      <c r="G60" s="233"/>
      <c r="I60" s="233"/>
      <c r="J60" s="233"/>
      <c r="K60" s="260"/>
      <c r="N60" s="233"/>
      <c r="P60" s="233"/>
      <c r="Q60" s="233"/>
      <c r="R60" s="233"/>
      <c r="S60" s="260"/>
      <c r="V60" s="233"/>
      <c r="X60" s="233"/>
      <c r="Y60" s="233"/>
      <c r="Z60" s="260"/>
      <c r="AC60" s="233"/>
      <c r="AE60" s="233"/>
    </row>
    <row r="61" spans="1:32" s="249" customFormat="1" collapsed="1" x14ac:dyDescent="0.25">
      <c r="C61" s="255"/>
      <c r="G61" s="233"/>
      <c r="I61" s="233"/>
      <c r="J61" s="233"/>
      <c r="Q61" s="233"/>
      <c r="R61" s="233"/>
      <c r="Y61" s="233"/>
    </row>
    <row r="62" spans="1:32" s="249" customFormat="1" x14ac:dyDescent="0.25">
      <c r="C62" s="255"/>
      <c r="G62" s="233"/>
      <c r="I62" s="233"/>
      <c r="J62" s="233"/>
      <c r="Q62" s="233"/>
      <c r="R62" s="233"/>
      <c r="Y62" s="233"/>
    </row>
    <row r="63" spans="1:32" s="249" customFormat="1" x14ac:dyDescent="0.25">
      <c r="C63" s="255"/>
      <c r="G63" s="233"/>
      <c r="I63" s="233"/>
      <c r="J63" s="233"/>
      <c r="Q63" s="233"/>
      <c r="R63" s="233"/>
      <c r="Y63" s="233"/>
    </row>
    <row r="64" spans="1:32" s="249" customFormat="1" x14ac:dyDescent="0.25">
      <c r="C64" s="255"/>
      <c r="G64" s="233"/>
      <c r="I64" s="233"/>
      <c r="J64" s="233"/>
      <c r="Q64" s="233"/>
      <c r="R64" s="233"/>
      <c r="Y64" s="233"/>
    </row>
    <row r="65" spans="3:25" s="249" customFormat="1" x14ac:dyDescent="0.25">
      <c r="C65" s="255"/>
      <c r="G65" s="233"/>
      <c r="I65" s="233"/>
      <c r="J65" s="233"/>
      <c r="Q65" s="233"/>
      <c r="R65" s="233"/>
      <c r="Y65" s="233"/>
    </row>
    <row r="66" spans="3:25" s="249" customFormat="1" x14ac:dyDescent="0.25">
      <c r="C66" s="255"/>
      <c r="G66" s="233"/>
      <c r="I66" s="233"/>
      <c r="J66" s="233"/>
      <c r="Q66" s="233"/>
      <c r="R66" s="233"/>
      <c r="Y66" s="233"/>
    </row>
    <row r="67" spans="3:25" s="249" customFormat="1" x14ac:dyDescent="0.25">
      <c r="C67" s="255"/>
      <c r="G67" s="233"/>
      <c r="I67" s="233"/>
      <c r="J67" s="233"/>
      <c r="Q67" s="233"/>
      <c r="R67" s="233"/>
      <c r="Y67" s="233"/>
    </row>
    <row r="68" spans="3:25" s="249" customFormat="1" x14ac:dyDescent="0.25">
      <c r="C68" s="255"/>
      <c r="G68" s="233"/>
      <c r="I68" s="233"/>
      <c r="J68" s="233"/>
      <c r="Q68" s="233"/>
      <c r="R68" s="233"/>
      <c r="Y68" s="233"/>
    </row>
    <row r="69" spans="3:25" s="249" customFormat="1" x14ac:dyDescent="0.25">
      <c r="C69" s="255"/>
      <c r="G69" s="233"/>
      <c r="I69" s="233"/>
      <c r="J69" s="233"/>
      <c r="Q69" s="233"/>
      <c r="R69" s="233"/>
      <c r="Y69" s="233"/>
    </row>
    <row r="70" spans="3:25" s="249" customFormat="1" x14ac:dyDescent="0.25">
      <c r="C70" s="255"/>
      <c r="G70" s="233"/>
      <c r="I70" s="233"/>
      <c r="J70" s="233"/>
      <c r="Q70" s="233"/>
      <c r="R70" s="233"/>
      <c r="Y70" s="233"/>
    </row>
    <row r="71" spans="3:25" s="249" customFormat="1" x14ac:dyDescent="0.25">
      <c r="C71" s="255"/>
      <c r="G71" s="233"/>
      <c r="I71" s="233"/>
      <c r="J71" s="233"/>
      <c r="Q71" s="233"/>
      <c r="R71" s="233"/>
      <c r="Y71" s="233"/>
    </row>
    <row r="72" spans="3:25" s="249" customFormat="1" x14ac:dyDescent="0.25">
      <c r="C72" s="255"/>
      <c r="G72" s="233"/>
      <c r="I72" s="233"/>
      <c r="J72" s="233"/>
      <c r="Q72" s="233"/>
      <c r="R72" s="233"/>
      <c r="Y72" s="233"/>
    </row>
    <row r="73" spans="3:25" s="249" customFormat="1" x14ac:dyDescent="0.25">
      <c r="C73" s="255"/>
      <c r="G73" s="233"/>
      <c r="I73" s="233"/>
      <c r="J73" s="233"/>
      <c r="Q73" s="233"/>
      <c r="R73" s="233"/>
      <c r="Y73" s="233"/>
    </row>
    <row r="74" spans="3:25" s="249" customFormat="1" x14ac:dyDescent="0.25">
      <c r="C74" s="255"/>
      <c r="G74" s="233"/>
      <c r="I74" s="233"/>
      <c r="J74" s="233"/>
      <c r="Q74" s="233"/>
      <c r="R74" s="233"/>
      <c r="Y74" s="233"/>
    </row>
    <row r="75" spans="3:25" s="249" customFormat="1" x14ac:dyDescent="0.25">
      <c r="C75" s="255"/>
      <c r="G75" s="233"/>
      <c r="I75" s="233"/>
      <c r="J75" s="233"/>
      <c r="Q75" s="233"/>
      <c r="R75" s="233"/>
      <c r="Y75" s="233"/>
    </row>
    <row r="76" spans="3:25" s="249" customFormat="1" x14ac:dyDescent="0.25">
      <c r="C76" s="255"/>
      <c r="G76" s="233"/>
      <c r="I76" s="233"/>
      <c r="J76" s="233"/>
      <c r="Q76" s="233"/>
      <c r="R76" s="233"/>
      <c r="Y76" s="233"/>
    </row>
    <row r="77" spans="3:25" s="249" customFormat="1" x14ac:dyDescent="0.25">
      <c r="C77" s="255"/>
      <c r="G77" s="233"/>
      <c r="I77" s="233"/>
      <c r="J77" s="233"/>
      <c r="Q77" s="233"/>
      <c r="R77" s="233"/>
      <c r="Y77" s="233"/>
    </row>
    <row r="78" spans="3:25" s="249" customFormat="1" x14ac:dyDescent="0.25">
      <c r="C78" s="255"/>
      <c r="G78" s="233"/>
      <c r="I78" s="233"/>
      <c r="J78" s="233"/>
      <c r="Q78" s="233"/>
      <c r="R78" s="233"/>
      <c r="Y78" s="233"/>
    </row>
    <row r="79" spans="3:25" s="249" customFormat="1" x14ac:dyDescent="0.25">
      <c r="C79" s="255"/>
      <c r="G79" s="233"/>
      <c r="I79" s="233"/>
      <c r="J79" s="233"/>
      <c r="Q79" s="233"/>
      <c r="R79" s="233"/>
      <c r="Y79" s="233"/>
    </row>
    <row r="80" spans="3:25" s="249" customFormat="1" x14ac:dyDescent="0.25">
      <c r="C80" s="255"/>
      <c r="G80" s="233"/>
      <c r="I80" s="233"/>
      <c r="J80" s="233"/>
      <c r="Q80" s="233"/>
      <c r="R80" s="233"/>
      <c r="Y80" s="233"/>
    </row>
    <row r="81" spans="3:25" s="249" customFormat="1" x14ac:dyDescent="0.25">
      <c r="C81" s="255"/>
      <c r="G81" s="233"/>
      <c r="I81" s="233"/>
      <c r="J81" s="233"/>
      <c r="Q81" s="233"/>
      <c r="R81" s="233"/>
      <c r="Y81" s="233"/>
    </row>
    <row r="82" spans="3:25" s="249" customFormat="1" x14ac:dyDescent="0.25">
      <c r="C82" s="255"/>
      <c r="G82" s="233"/>
      <c r="I82" s="233"/>
      <c r="J82" s="233"/>
      <c r="Q82" s="233"/>
      <c r="R82" s="233"/>
      <c r="Y82" s="233"/>
    </row>
    <row r="83" spans="3:25" s="249" customFormat="1" x14ac:dyDescent="0.25">
      <c r="C83" s="255"/>
      <c r="G83" s="233"/>
      <c r="I83" s="233"/>
      <c r="J83" s="233"/>
      <c r="Q83" s="233"/>
      <c r="R83" s="233"/>
      <c r="Y83" s="233"/>
    </row>
    <row r="84" spans="3:25" s="249" customFormat="1" x14ac:dyDescent="0.25">
      <c r="C84" s="255"/>
      <c r="G84" s="233"/>
      <c r="I84" s="233"/>
      <c r="J84" s="233"/>
      <c r="Q84" s="233"/>
      <c r="R84" s="233"/>
      <c r="Y84" s="233"/>
    </row>
    <row r="85" spans="3:25" s="249" customFormat="1" x14ac:dyDescent="0.25">
      <c r="C85" s="255"/>
      <c r="G85" s="233"/>
      <c r="I85" s="233"/>
      <c r="J85" s="233"/>
      <c r="Q85" s="233"/>
      <c r="R85" s="233"/>
      <c r="Y85" s="233"/>
    </row>
    <row r="86" spans="3:25" s="249" customFormat="1" x14ac:dyDescent="0.25">
      <c r="C86" s="255"/>
      <c r="G86" s="233"/>
      <c r="I86" s="233"/>
      <c r="J86" s="233"/>
      <c r="Q86" s="233"/>
      <c r="R86" s="233"/>
      <c r="Y86" s="233"/>
    </row>
    <row r="87" spans="3:25" s="249" customFormat="1" x14ac:dyDescent="0.25">
      <c r="C87" s="255"/>
      <c r="G87" s="233"/>
      <c r="I87" s="233"/>
      <c r="J87" s="233"/>
      <c r="Q87" s="233"/>
      <c r="R87" s="233"/>
      <c r="Y87" s="233"/>
    </row>
    <row r="88" spans="3:25" s="249" customFormat="1" x14ac:dyDescent="0.25">
      <c r="C88" s="255"/>
      <c r="G88" s="233"/>
      <c r="I88" s="233"/>
      <c r="J88" s="233"/>
      <c r="Q88" s="233"/>
      <c r="R88" s="233"/>
      <c r="Y88" s="233"/>
    </row>
    <row r="89" spans="3:25" s="249" customFormat="1" x14ac:dyDescent="0.25">
      <c r="C89" s="255"/>
      <c r="G89" s="233"/>
      <c r="I89" s="233"/>
      <c r="J89" s="233"/>
      <c r="Q89" s="233"/>
      <c r="R89" s="233"/>
      <c r="Y89" s="233"/>
    </row>
    <row r="90" spans="3:25" s="249" customFormat="1" x14ac:dyDescent="0.25">
      <c r="C90" s="255"/>
      <c r="G90" s="233"/>
      <c r="I90" s="233"/>
      <c r="J90" s="233"/>
      <c r="Q90" s="233"/>
      <c r="R90" s="233"/>
      <c r="Y90" s="233"/>
    </row>
    <row r="91" spans="3:25" s="249" customFormat="1" x14ac:dyDescent="0.25">
      <c r="C91" s="255"/>
      <c r="G91" s="233"/>
      <c r="I91" s="233"/>
      <c r="J91" s="233"/>
      <c r="Q91" s="233"/>
      <c r="R91" s="233"/>
      <c r="Y91" s="233"/>
    </row>
    <row r="92" spans="3:25" s="249" customFormat="1" x14ac:dyDescent="0.25">
      <c r="C92" s="255"/>
      <c r="G92" s="233"/>
      <c r="I92" s="233"/>
      <c r="J92" s="233"/>
      <c r="Q92" s="233"/>
      <c r="R92" s="233"/>
      <c r="Y92" s="233"/>
    </row>
    <row r="93" spans="3:25" s="249" customFormat="1" x14ac:dyDescent="0.25">
      <c r="C93" s="255"/>
      <c r="G93" s="233"/>
      <c r="I93" s="233"/>
      <c r="J93" s="233"/>
      <c r="Q93" s="233"/>
      <c r="R93" s="233"/>
      <c r="Y93" s="233"/>
    </row>
    <row r="94" spans="3:25" s="249" customFormat="1" x14ac:dyDescent="0.25">
      <c r="C94" s="255"/>
      <c r="G94" s="233"/>
      <c r="I94" s="233"/>
      <c r="J94" s="233"/>
      <c r="Q94" s="233"/>
      <c r="R94" s="233"/>
      <c r="Y94" s="233"/>
    </row>
    <row r="95" spans="3:25" s="249" customFormat="1" x14ac:dyDescent="0.25">
      <c r="C95" s="255"/>
      <c r="G95" s="233"/>
      <c r="I95" s="233"/>
      <c r="J95" s="233"/>
      <c r="Q95" s="233"/>
      <c r="R95" s="233"/>
      <c r="Y95" s="233"/>
    </row>
    <row r="96" spans="3:25" s="249" customFormat="1" x14ac:dyDescent="0.25">
      <c r="C96" s="255"/>
      <c r="G96" s="233"/>
      <c r="I96" s="233"/>
      <c r="J96" s="233"/>
      <c r="Q96" s="233"/>
      <c r="R96" s="233"/>
      <c r="Y96" s="233"/>
    </row>
    <row r="97" spans="3:25" s="249" customFormat="1" x14ac:dyDescent="0.25">
      <c r="C97" s="255"/>
      <c r="G97" s="233"/>
      <c r="I97" s="233"/>
      <c r="J97" s="233"/>
      <c r="Q97" s="233"/>
      <c r="R97" s="233"/>
      <c r="Y97" s="233"/>
    </row>
    <row r="98" spans="3:25" s="249" customFormat="1" x14ac:dyDescent="0.25">
      <c r="C98" s="255"/>
      <c r="G98" s="233"/>
      <c r="I98" s="233"/>
      <c r="J98" s="233"/>
      <c r="Q98" s="233"/>
      <c r="R98" s="233"/>
      <c r="Y98" s="233"/>
    </row>
    <row r="99" spans="3:25" s="249" customFormat="1" x14ac:dyDescent="0.25">
      <c r="C99" s="255"/>
      <c r="G99" s="233"/>
      <c r="I99" s="233"/>
      <c r="J99" s="233"/>
      <c r="Q99" s="233"/>
      <c r="R99" s="233"/>
      <c r="Y99" s="233"/>
    </row>
    <row r="100" spans="3:25" s="249" customFormat="1" x14ac:dyDescent="0.25">
      <c r="C100" s="255"/>
      <c r="G100" s="233"/>
      <c r="I100" s="233"/>
      <c r="J100" s="233"/>
      <c r="Q100" s="233"/>
      <c r="R100" s="233"/>
      <c r="Y100" s="233"/>
    </row>
    <row r="101" spans="3:25" s="249" customFormat="1" x14ac:dyDescent="0.25">
      <c r="C101" s="255"/>
      <c r="G101" s="233"/>
      <c r="I101" s="233"/>
      <c r="J101" s="233"/>
      <c r="Q101" s="233"/>
      <c r="R101" s="233"/>
      <c r="Y101" s="233"/>
    </row>
    <row r="102" spans="3:25" s="249" customFormat="1" x14ac:dyDescent="0.25">
      <c r="C102" s="255"/>
      <c r="G102" s="233"/>
      <c r="I102" s="233"/>
      <c r="J102" s="233"/>
      <c r="Q102" s="233"/>
      <c r="R102" s="233"/>
      <c r="Y102" s="233"/>
    </row>
    <row r="103" spans="3:25" s="249" customFormat="1" x14ac:dyDescent="0.25">
      <c r="C103" s="255"/>
      <c r="G103" s="233"/>
      <c r="I103" s="233"/>
      <c r="J103" s="233"/>
      <c r="Q103" s="233"/>
      <c r="R103" s="233"/>
      <c r="Y103" s="233"/>
    </row>
    <row r="104" spans="3:25" s="249" customFormat="1" x14ac:dyDescent="0.25">
      <c r="C104" s="255"/>
      <c r="G104" s="233"/>
      <c r="I104" s="233"/>
      <c r="J104" s="233"/>
      <c r="Q104" s="233"/>
      <c r="R104" s="233"/>
      <c r="Y104" s="233"/>
    </row>
    <row r="105" spans="3:25" s="249" customFormat="1" x14ac:dyDescent="0.25">
      <c r="C105" s="255"/>
      <c r="G105" s="233"/>
      <c r="I105" s="233"/>
      <c r="J105" s="233"/>
      <c r="Q105" s="233"/>
      <c r="R105" s="233"/>
      <c r="Y105" s="233"/>
    </row>
    <row r="106" spans="3:25" s="249" customFormat="1" x14ac:dyDescent="0.25">
      <c r="C106" s="255"/>
      <c r="G106" s="233"/>
      <c r="I106" s="233"/>
      <c r="J106" s="233"/>
      <c r="Q106" s="233"/>
      <c r="R106" s="233"/>
      <c r="Y106" s="233"/>
    </row>
    <row r="107" spans="3:25" s="249" customFormat="1" x14ac:dyDescent="0.25">
      <c r="C107" s="255"/>
      <c r="G107" s="233"/>
      <c r="I107" s="233"/>
      <c r="J107" s="233"/>
      <c r="Q107" s="233"/>
      <c r="R107" s="233"/>
      <c r="Y107" s="233"/>
    </row>
    <row r="108" spans="3:25" s="249" customFormat="1" x14ac:dyDescent="0.25">
      <c r="C108" s="255"/>
      <c r="G108" s="233"/>
      <c r="I108" s="233"/>
      <c r="J108" s="233"/>
      <c r="Q108" s="233"/>
      <c r="R108" s="233"/>
      <c r="Y108" s="233"/>
    </row>
    <row r="109" spans="3:25" s="249" customFormat="1" x14ac:dyDescent="0.25">
      <c r="C109" s="255"/>
      <c r="G109" s="233"/>
      <c r="I109" s="233"/>
      <c r="J109" s="233"/>
      <c r="Q109" s="233"/>
      <c r="R109" s="233"/>
      <c r="Y109" s="233"/>
    </row>
    <row r="110" spans="3:25" s="249" customFormat="1" x14ac:dyDescent="0.25">
      <c r="C110" s="255"/>
      <c r="G110" s="233"/>
      <c r="I110" s="233"/>
      <c r="J110" s="233"/>
      <c r="Q110" s="233"/>
      <c r="R110" s="233"/>
      <c r="Y110" s="233"/>
    </row>
    <row r="111" spans="3:25" s="249" customFormat="1" x14ac:dyDescent="0.25">
      <c r="C111" s="255"/>
      <c r="G111" s="233"/>
      <c r="I111" s="233"/>
      <c r="J111" s="233"/>
      <c r="Q111" s="233"/>
      <c r="R111" s="233"/>
      <c r="Y111" s="233"/>
    </row>
    <row r="112" spans="3:25" s="249" customFormat="1" x14ac:dyDescent="0.25">
      <c r="C112" s="255"/>
      <c r="G112" s="233"/>
      <c r="I112" s="233"/>
      <c r="J112" s="233"/>
      <c r="Q112" s="233"/>
      <c r="R112" s="233"/>
      <c r="Y112" s="233"/>
    </row>
    <row r="113" spans="3:25" s="249" customFormat="1" x14ac:dyDescent="0.25">
      <c r="C113" s="255"/>
      <c r="G113" s="233"/>
      <c r="I113" s="233"/>
      <c r="J113" s="233"/>
      <c r="Q113" s="233"/>
      <c r="R113" s="233"/>
      <c r="Y113" s="233"/>
    </row>
    <row r="114" spans="3:25" s="249" customFormat="1" x14ac:dyDescent="0.25">
      <c r="C114" s="255"/>
      <c r="G114" s="233"/>
      <c r="I114" s="233"/>
      <c r="J114" s="233"/>
      <c r="Q114" s="233"/>
      <c r="R114" s="233"/>
      <c r="Y114" s="233"/>
    </row>
    <row r="115" spans="3:25" s="249" customFormat="1" x14ac:dyDescent="0.25">
      <c r="C115" s="255"/>
      <c r="G115" s="233"/>
      <c r="I115" s="233"/>
      <c r="J115" s="233"/>
      <c r="Q115" s="233"/>
      <c r="R115" s="233"/>
      <c r="Y115" s="233"/>
    </row>
    <row r="116" spans="3:25" s="249" customFormat="1" x14ac:dyDescent="0.25">
      <c r="C116" s="255"/>
      <c r="G116" s="233"/>
      <c r="I116" s="233"/>
      <c r="J116" s="233"/>
      <c r="Q116" s="233"/>
      <c r="R116" s="233"/>
      <c r="Y116" s="233"/>
    </row>
    <row r="117" spans="3:25" s="249" customFormat="1" x14ac:dyDescent="0.25">
      <c r="C117" s="255"/>
      <c r="G117" s="233"/>
      <c r="I117" s="233"/>
      <c r="J117" s="233"/>
      <c r="Q117" s="233"/>
      <c r="R117" s="233"/>
      <c r="Y117" s="233"/>
    </row>
    <row r="118" spans="3:25" s="249" customFormat="1" x14ac:dyDescent="0.25">
      <c r="C118" s="255"/>
      <c r="G118" s="233"/>
      <c r="I118" s="233"/>
      <c r="J118" s="233"/>
      <c r="Q118" s="233"/>
      <c r="R118" s="233"/>
      <c r="Y118" s="233"/>
    </row>
    <row r="119" spans="3:25" s="249" customFormat="1" x14ac:dyDescent="0.25">
      <c r="C119" s="255"/>
      <c r="G119" s="233"/>
      <c r="I119" s="233"/>
      <c r="J119" s="233"/>
      <c r="Q119" s="233"/>
      <c r="R119" s="233"/>
      <c r="Y119" s="233"/>
    </row>
    <row r="120" spans="3:25" s="249" customFormat="1" x14ac:dyDescent="0.25">
      <c r="C120" s="255"/>
      <c r="G120" s="233"/>
      <c r="I120" s="233"/>
      <c r="J120" s="233"/>
      <c r="Q120" s="233"/>
      <c r="R120" s="233"/>
      <c r="Y120" s="233"/>
    </row>
    <row r="121" spans="3:25" s="249" customFormat="1" x14ac:dyDescent="0.25">
      <c r="C121" s="255"/>
      <c r="G121" s="233"/>
      <c r="I121" s="233"/>
      <c r="J121" s="233"/>
      <c r="Q121" s="233"/>
      <c r="R121" s="233"/>
      <c r="Y121" s="233"/>
    </row>
    <row r="122" spans="3:25" s="249" customFormat="1" x14ac:dyDescent="0.25">
      <c r="C122" s="255"/>
      <c r="G122" s="233"/>
      <c r="I122" s="233"/>
      <c r="J122" s="233"/>
      <c r="Q122" s="233"/>
      <c r="R122" s="233"/>
      <c r="Y122" s="233"/>
    </row>
    <row r="123" spans="3:25" s="249" customFormat="1" x14ac:dyDescent="0.25">
      <c r="C123" s="255"/>
      <c r="G123" s="233"/>
      <c r="I123" s="233"/>
      <c r="J123" s="233"/>
      <c r="Q123" s="233"/>
      <c r="R123" s="233"/>
      <c r="Y123" s="233"/>
    </row>
    <row r="124" spans="3:25" s="249" customFormat="1" x14ac:dyDescent="0.25">
      <c r="C124" s="255"/>
      <c r="G124" s="233"/>
      <c r="I124" s="233"/>
      <c r="J124" s="233"/>
      <c r="Q124" s="233"/>
      <c r="R124" s="233"/>
      <c r="Y124" s="233"/>
    </row>
    <row r="125" spans="3:25" s="249" customFormat="1" x14ac:dyDescent="0.25">
      <c r="C125" s="255"/>
      <c r="G125" s="233"/>
      <c r="I125" s="233"/>
      <c r="J125" s="233"/>
      <c r="Q125" s="233"/>
      <c r="R125" s="233"/>
      <c r="Y125" s="233"/>
    </row>
    <row r="126" spans="3:25" s="249" customFormat="1" x14ac:dyDescent="0.25">
      <c r="C126" s="255"/>
      <c r="G126" s="233"/>
      <c r="I126" s="233"/>
      <c r="J126" s="233"/>
      <c r="Q126" s="233"/>
      <c r="R126" s="233"/>
      <c r="Y126" s="233"/>
    </row>
    <row r="127" spans="3:25" s="249" customFormat="1" x14ac:dyDescent="0.25">
      <c r="C127" s="255"/>
      <c r="G127" s="233"/>
      <c r="I127" s="233"/>
      <c r="J127" s="233"/>
      <c r="Q127" s="233"/>
      <c r="R127" s="233"/>
      <c r="Y127" s="233"/>
    </row>
    <row r="128" spans="3:25" s="249" customFormat="1" x14ac:dyDescent="0.25">
      <c r="C128" s="255"/>
      <c r="G128" s="233"/>
      <c r="I128" s="233"/>
      <c r="J128" s="233"/>
      <c r="Q128" s="233"/>
      <c r="R128" s="233"/>
      <c r="Y128" s="233"/>
    </row>
    <row r="129" spans="3:25" s="249" customFormat="1" x14ac:dyDescent="0.25">
      <c r="C129" s="255"/>
      <c r="G129" s="233"/>
      <c r="I129" s="233"/>
      <c r="J129" s="233"/>
      <c r="Q129" s="233"/>
      <c r="R129" s="233"/>
      <c r="Y129" s="233"/>
    </row>
    <row r="130" spans="3:25" s="249" customFormat="1" x14ac:dyDescent="0.25">
      <c r="C130" s="255"/>
      <c r="G130" s="233"/>
      <c r="I130" s="233"/>
      <c r="J130" s="233"/>
      <c r="Q130" s="233"/>
      <c r="R130" s="233"/>
      <c r="Y130" s="233"/>
    </row>
    <row r="131" spans="3:25" s="249" customFormat="1" x14ac:dyDescent="0.25">
      <c r="C131" s="255"/>
      <c r="G131" s="233"/>
      <c r="I131" s="233"/>
      <c r="J131" s="233"/>
      <c r="Q131" s="233"/>
      <c r="R131" s="233"/>
      <c r="Y131" s="233"/>
    </row>
    <row r="132" spans="3:25" s="249" customFormat="1" x14ac:dyDescent="0.25">
      <c r="C132" s="255"/>
      <c r="G132" s="233"/>
      <c r="I132" s="233"/>
      <c r="J132" s="233"/>
      <c r="Q132" s="233"/>
      <c r="R132" s="233"/>
      <c r="Y132" s="233"/>
    </row>
    <row r="133" spans="3:25" s="249" customFormat="1" x14ac:dyDescent="0.25">
      <c r="C133" s="255"/>
      <c r="G133" s="233"/>
      <c r="I133" s="233"/>
      <c r="J133" s="233"/>
      <c r="Q133" s="233"/>
      <c r="R133" s="233"/>
      <c r="Y133" s="233"/>
    </row>
    <row r="134" spans="3:25" s="249" customFormat="1" x14ac:dyDescent="0.25">
      <c r="C134" s="255"/>
      <c r="G134" s="233"/>
      <c r="I134" s="233"/>
      <c r="J134" s="233"/>
      <c r="Q134" s="233"/>
      <c r="R134" s="233"/>
      <c r="Y134" s="233"/>
    </row>
    <row r="135" spans="3:25" s="249" customFormat="1" x14ac:dyDescent="0.25">
      <c r="C135" s="255"/>
      <c r="G135" s="233"/>
      <c r="I135" s="233"/>
      <c r="J135" s="233"/>
      <c r="Q135" s="233"/>
      <c r="R135" s="233"/>
      <c r="Y135" s="233"/>
    </row>
    <row r="136" spans="3:25" s="249" customFormat="1" x14ac:dyDescent="0.25">
      <c r="C136" s="255"/>
      <c r="G136" s="233"/>
      <c r="I136" s="233"/>
      <c r="J136" s="233"/>
      <c r="Q136" s="233"/>
      <c r="R136" s="233"/>
      <c r="Y136" s="233"/>
    </row>
    <row r="137" spans="3:25" s="249" customFormat="1" x14ac:dyDescent="0.25">
      <c r="C137" s="255"/>
      <c r="G137" s="233"/>
      <c r="I137" s="233"/>
      <c r="J137" s="233"/>
      <c r="Q137" s="233"/>
      <c r="R137" s="233"/>
      <c r="Y137" s="233"/>
    </row>
    <row r="138" spans="3:25" s="249" customFormat="1" x14ac:dyDescent="0.25">
      <c r="C138" s="255"/>
      <c r="G138" s="233"/>
      <c r="I138" s="233"/>
      <c r="J138" s="233"/>
      <c r="Q138" s="233"/>
      <c r="R138" s="233"/>
      <c r="Y138" s="233"/>
    </row>
    <row r="139" spans="3:25" s="249" customFormat="1" x14ac:dyDescent="0.25">
      <c r="C139" s="255"/>
      <c r="G139" s="233"/>
      <c r="I139" s="233"/>
      <c r="J139" s="233"/>
      <c r="Q139" s="233"/>
      <c r="R139" s="233"/>
      <c r="Y139" s="233"/>
    </row>
    <row r="140" spans="3:25" s="249" customFormat="1" x14ac:dyDescent="0.25">
      <c r="C140" s="255"/>
      <c r="G140" s="233"/>
      <c r="I140" s="233"/>
      <c r="J140" s="233"/>
      <c r="Q140" s="233"/>
      <c r="R140" s="233"/>
      <c r="Y140" s="233"/>
    </row>
    <row r="141" spans="3:25" s="249" customFormat="1" x14ac:dyDescent="0.25">
      <c r="C141" s="255"/>
      <c r="G141" s="233"/>
      <c r="I141" s="233"/>
      <c r="J141" s="233"/>
      <c r="Q141" s="233"/>
      <c r="R141" s="233"/>
      <c r="Y141" s="233"/>
    </row>
    <row r="142" spans="3:25" s="249" customFormat="1" x14ac:dyDescent="0.25">
      <c r="C142" s="255"/>
      <c r="G142" s="233"/>
      <c r="I142" s="233"/>
      <c r="J142" s="233"/>
      <c r="Q142" s="233"/>
      <c r="R142" s="233"/>
      <c r="Y142" s="233"/>
    </row>
    <row r="143" spans="3:25" s="249" customFormat="1" x14ac:dyDescent="0.25">
      <c r="C143" s="255"/>
      <c r="G143" s="233"/>
      <c r="I143" s="233"/>
      <c r="J143" s="233"/>
      <c r="Q143" s="233"/>
      <c r="R143" s="233"/>
      <c r="Y143" s="233"/>
    </row>
    <row r="144" spans="3:25" s="249" customFormat="1" x14ac:dyDescent="0.25">
      <c r="C144" s="255"/>
      <c r="G144" s="233"/>
      <c r="I144" s="233"/>
      <c r="J144" s="233"/>
      <c r="Q144" s="233"/>
      <c r="R144" s="233"/>
      <c r="Y144" s="233"/>
    </row>
    <row r="145" spans="3:25" s="249" customFormat="1" x14ac:dyDescent="0.25">
      <c r="C145" s="255"/>
      <c r="G145" s="233"/>
      <c r="I145" s="233"/>
      <c r="J145" s="233"/>
      <c r="Q145" s="233"/>
      <c r="R145" s="233"/>
      <c r="Y145" s="233"/>
    </row>
    <row r="146" spans="3:25" s="249" customFormat="1" x14ac:dyDescent="0.25">
      <c r="C146" s="255"/>
      <c r="G146" s="233"/>
      <c r="I146" s="233"/>
      <c r="J146" s="233"/>
      <c r="Q146" s="233"/>
      <c r="R146" s="233"/>
      <c r="Y146" s="233"/>
    </row>
    <row r="147" spans="3:25" s="249" customFormat="1" x14ac:dyDescent="0.25">
      <c r="C147" s="255"/>
      <c r="G147" s="233"/>
      <c r="I147" s="233"/>
      <c r="J147" s="233"/>
      <c r="Q147" s="233"/>
      <c r="R147" s="233"/>
      <c r="Y147" s="233"/>
    </row>
    <row r="148" spans="3:25" s="249" customFormat="1" x14ac:dyDescent="0.25">
      <c r="C148" s="255"/>
      <c r="G148" s="233"/>
      <c r="I148" s="233"/>
      <c r="J148" s="233"/>
      <c r="Q148" s="233"/>
      <c r="R148" s="233"/>
      <c r="Y148" s="233"/>
    </row>
    <row r="149" spans="3:25" s="249" customFormat="1" x14ac:dyDescent="0.25">
      <c r="C149" s="255"/>
      <c r="G149" s="233"/>
      <c r="I149" s="233"/>
      <c r="J149" s="233"/>
      <c r="Q149" s="233"/>
      <c r="R149" s="233"/>
      <c r="Y149" s="233"/>
    </row>
    <row r="150" spans="3:25" s="249" customFormat="1" x14ac:dyDescent="0.25">
      <c r="C150" s="255"/>
      <c r="G150" s="233"/>
      <c r="I150" s="233"/>
      <c r="J150" s="233"/>
      <c r="Q150" s="233"/>
      <c r="R150" s="233"/>
      <c r="Y150" s="233"/>
    </row>
    <row r="151" spans="3:25" s="249" customFormat="1" x14ac:dyDescent="0.25">
      <c r="C151" s="255"/>
      <c r="G151" s="233"/>
      <c r="I151" s="233"/>
      <c r="J151" s="233"/>
      <c r="Q151" s="233"/>
      <c r="R151" s="233"/>
      <c r="Y151" s="233"/>
    </row>
    <row r="152" spans="3:25" s="249" customFormat="1" x14ac:dyDescent="0.25">
      <c r="C152" s="255"/>
      <c r="G152" s="233"/>
      <c r="I152" s="233"/>
      <c r="J152" s="233"/>
      <c r="Q152" s="233"/>
      <c r="R152" s="233"/>
      <c r="Y152" s="233"/>
    </row>
    <row r="153" spans="3:25" s="249" customFormat="1" x14ac:dyDescent="0.25">
      <c r="C153" s="255"/>
      <c r="G153" s="233"/>
      <c r="I153" s="233"/>
      <c r="J153" s="233"/>
      <c r="Q153" s="233"/>
      <c r="R153" s="233"/>
      <c r="Y153" s="233"/>
    </row>
    <row r="154" spans="3:25" s="249" customFormat="1" x14ac:dyDescent="0.25">
      <c r="C154" s="255"/>
      <c r="G154" s="233"/>
      <c r="I154" s="233"/>
      <c r="J154" s="233"/>
      <c r="Q154" s="233"/>
      <c r="R154" s="233"/>
      <c r="Y154" s="233"/>
    </row>
    <row r="155" spans="3:25" s="249" customFormat="1" x14ac:dyDescent="0.25">
      <c r="C155" s="255"/>
      <c r="G155" s="233"/>
      <c r="I155" s="233"/>
      <c r="J155" s="233"/>
      <c r="Q155" s="233"/>
      <c r="R155" s="233"/>
      <c r="Y155" s="233"/>
    </row>
    <row r="156" spans="3:25" s="249" customFormat="1" x14ac:dyDescent="0.25">
      <c r="C156" s="255"/>
      <c r="G156" s="233"/>
      <c r="I156" s="233"/>
      <c r="J156" s="233"/>
      <c r="Q156" s="233"/>
      <c r="R156" s="233"/>
      <c r="Y156" s="233"/>
    </row>
    <row r="157" spans="3:25" s="249" customFormat="1" x14ac:dyDescent="0.25">
      <c r="C157" s="255"/>
      <c r="G157" s="233"/>
      <c r="I157" s="233"/>
      <c r="J157" s="233"/>
      <c r="Q157" s="233"/>
      <c r="R157" s="233"/>
      <c r="Y157" s="233"/>
    </row>
    <row r="158" spans="3:25" s="249" customFormat="1" x14ac:dyDescent="0.25">
      <c r="C158" s="255"/>
      <c r="G158" s="233"/>
      <c r="I158" s="233"/>
      <c r="J158" s="233"/>
      <c r="Q158" s="233"/>
      <c r="R158" s="233"/>
      <c r="Y158" s="233"/>
    </row>
    <row r="159" spans="3:25" s="249" customFormat="1" x14ac:dyDescent="0.25">
      <c r="C159" s="255"/>
      <c r="G159" s="233"/>
      <c r="I159" s="233"/>
      <c r="J159" s="233"/>
      <c r="Q159" s="233"/>
      <c r="R159" s="233"/>
      <c r="Y159" s="233"/>
    </row>
    <row r="160" spans="3:25" s="249" customFormat="1" x14ac:dyDescent="0.25">
      <c r="C160" s="255"/>
      <c r="G160" s="233"/>
      <c r="I160" s="233"/>
      <c r="J160" s="233"/>
      <c r="Q160" s="233"/>
      <c r="R160" s="233"/>
      <c r="Y160" s="233"/>
    </row>
    <row r="161" spans="3:25" s="249" customFormat="1" x14ac:dyDescent="0.25">
      <c r="C161" s="255"/>
      <c r="G161" s="233"/>
      <c r="I161" s="233"/>
      <c r="J161" s="233"/>
      <c r="Q161" s="233"/>
      <c r="R161" s="233"/>
      <c r="Y161" s="233"/>
    </row>
    <row r="162" spans="3:25" s="249" customFormat="1" x14ac:dyDescent="0.25">
      <c r="C162" s="255"/>
      <c r="G162" s="233"/>
      <c r="I162" s="233"/>
      <c r="J162" s="233"/>
      <c r="Q162" s="233"/>
      <c r="R162" s="233"/>
      <c r="Y162" s="233"/>
    </row>
    <row r="163" spans="3:25" s="249" customFormat="1" x14ac:dyDescent="0.25">
      <c r="C163" s="255"/>
      <c r="G163" s="233"/>
      <c r="I163" s="233"/>
      <c r="J163" s="233"/>
      <c r="Q163" s="233"/>
      <c r="R163" s="233"/>
      <c r="Y163" s="233"/>
    </row>
    <row r="164" spans="3:25" s="249" customFormat="1" x14ac:dyDescent="0.25">
      <c r="C164" s="255"/>
      <c r="G164" s="233"/>
      <c r="I164" s="233"/>
      <c r="J164" s="233"/>
      <c r="Q164" s="233"/>
      <c r="R164" s="233"/>
      <c r="Y164" s="233"/>
    </row>
    <row r="165" spans="3:25" s="249" customFormat="1" x14ac:dyDescent="0.25">
      <c r="C165" s="255"/>
      <c r="G165" s="233"/>
      <c r="I165" s="233"/>
      <c r="J165" s="233"/>
      <c r="Q165" s="233"/>
      <c r="R165" s="233"/>
      <c r="Y165" s="233"/>
    </row>
    <row r="166" spans="3:25" s="249" customFormat="1" x14ac:dyDescent="0.25">
      <c r="C166" s="255"/>
      <c r="G166" s="233"/>
      <c r="I166" s="233"/>
      <c r="J166" s="233"/>
      <c r="Q166" s="233"/>
      <c r="R166" s="233"/>
      <c r="Y166" s="233"/>
    </row>
    <row r="167" spans="3:25" s="249" customFormat="1" x14ac:dyDescent="0.25">
      <c r="C167" s="255"/>
      <c r="G167" s="233"/>
      <c r="I167" s="233"/>
      <c r="J167" s="233"/>
      <c r="Q167" s="233"/>
      <c r="R167" s="233"/>
      <c r="Y167" s="233"/>
    </row>
    <row r="168" spans="3:25" s="249" customFormat="1" x14ac:dyDescent="0.25">
      <c r="C168" s="255"/>
      <c r="G168" s="233"/>
      <c r="I168" s="233"/>
      <c r="J168" s="233"/>
      <c r="Q168" s="233"/>
      <c r="R168" s="233"/>
      <c r="Y168" s="233"/>
    </row>
    <row r="169" spans="3:25" s="249" customFormat="1" x14ac:dyDescent="0.25">
      <c r="C169" s="255"/>
      <c r="G169" s="233"/>
      <c r="I169" s="233"/>
      <c r="J169" s="233"/>
      <c r="Q169" s="233"/>
      <c r="R169" s="233"/>
      <c r="Y169" s="233"/>
    </row>
    <row r="170" spans="3:25" s="249" customFormat="1" x14ac:dyDescent="0.25">
      <c r="C170" s="255"/>
      <c r="G170" s="233"/>
      <c r="I170" s="233"/>
      <c r="J170" s="233"/>
      <c r="Q170" s="233"/>
      <c r="R170" s="233"/>
      <c r="Y170" s="233"/>
    </row>
    <row r="171" spans="3:25" s="249" customFormat="1" x14ac:dyDescent="0.25">
      <c r="C171" s="255"/>
      <c r="G171" s="233"/>
      <c r="I171" s="233"/>
      <c r="J171" s="233"/>
      <c r="Q171" s="233"/>
      <c r="R171" s="233"/>
      <c r="Y171" s="233"/>
    </row>
    <row r="172" spans="3:25" s="249" customFormat="1" x14ac:dyDescent="0.25">
      <c r="C172" s="255"/>
      <c r="G172" s="233"/>
      <c r="I172" s="233"/>
      <c r="J172" s="233"/>
      <c r="Q172" s="233"/>
      <c r="R172" s="233"/>
      <c r="Y172" s="233"/>
    </row>
    <row r="173" spans="3:25" s="249" customFormat="1" x14ac:dyDescent="0.25">
      <c r="C173" s="255"/>
      <c r="G173" s="233"/>
      <c r="I173" s="233"/>
      <c r="J173" s="233"/>
      <c r="Q173" s="233"/>
      <c r="R173" s="233"/>
      <c r="Y173" s="233"/>
    </row>
    <row r="174" spans="3:25" s="249" customFormat="1" x14ac:dyDescent="0.25">
      <c r="C174" s="255"/>
      <c r="G174" s="233"/>
      <c r="I174" s="233"/>
      <c r="J174" s="233"/>
      <c r="Q174" s="233"/>
      <c r="R174" s="233"/>
      <c r="Y174" s="233"/>
    </row>
    <row r="175" spans="3:25" s="249" customFormat="1" x14ac:dyDescent="0.25">
      <c r="C175" s="255"/>
      <c r="G175" s="233"/>
      <c r="I175" s="233"/>
      <c r="J175" s="233"/>
      <c r="Q175" s="233"/>
      <c r="R175" s="233"/>
      <c r="Y175" s="233"/>
    </row>
    <row r="176" spans="3:25" s="249" customFormat="1" x14ac:dyDescent="0.25">
      <c r="C176" s="255"/>
      <c r="G176" s="233"/>
      <c r="I176" s="233"/>
      <c r="J176" s="233"/>
      <c r="Q176" s="233"/>
      <c r="R176" s="233"/>
      <c r="Y176" s="233"/>
    </row>
    <row r="177" spans="3:25" s="249" customFormat="1" x14ac:dyDescent="0.25">
      <c r="C177" s="255"/>
      <c r="G177" s="233"/>
      <c r="I177" s="233"/>
      <c r="J177" s="233"/>
      <c r="Q177" s="233"/>
      <c r="R177" s="233"/>
      <c r="Y177" s="233"/>
    </row>
    <row r="178" spans="3:25" s="249" customFormat="1" x14ac:dyDescent="0.25">
      <c r="C178" s="255"/>
      <c r="G178" s="233"/>
      <c r="I178" s="233"/>
      <c r="J178" s="233"/>
      <c r="Q178" s="233"/>
      <c r="R178" s="233"/>
      <c r="Y178" s="233"/>
    </row>
    <row r="179" spans="3:25" s="249" customFormat="1" x14ac:dyDescent="0.25">
      <c r="C179" s="255"/>
      <c r="G179" s="233"/>
      <c r="I179" s="233"/>
      <c r="J179" s="233"/>
      <c r="Q179" s="233"/>
      <c r="R179" s="233"/>
      <c r="Y179" s="233"/>
    </row>
    <row r="180" spans="3:25" s="249" customFormat="1" x14ac:dyDescent="0.25">
      <c r="C180" s="255"/>
      <c r="G180" s="233"/>
      <c r="I180" s="233"/>
      <c r="J180" s="233"/>
      <c r="Q180" s="233"/>
      <c r="R180" s="233"/>
      <c r="Y180" s="233"/>
    </row>
    <row r="181" spans="3:25" s="249" customFormat="1" x14ac:dyDescent="0.25">
      <c r="C181" s="255"/>
      <c r="G181" s="233"/>
      <c r="I181" s="233"/>
      <c r="J181" s="233"/>
      <c r="Q181" s="233"/>
      <c r="R181" s="233"/>
      <c r="Y181" s="233"/>
    </row>
    <row r="182" spans="3:25" s="249" customFormat="1" x14ac:dyDescent="0.25">
      <c r="C182" s="255"/>
      <c r="G182" s="233"/>
      <c r="I182" s="233"/>
      <c r="J182" s="233"/>
      <c r="Q182" s="233"/>
      <c r="R182" s="233"/>
      <c r="Y182" s="233"/>
    </row>
    <row r="183" spans="3:25" s="249" customFormat="1" x14ac:dyDescent="0.25">
      <c r="C183" s="255"/>
      <c r="G183" s="233"/>
      <c r="I183" s="233"/>
      <c r="J183" s="233"/>
      <c r="Q183" s="233"/>
      <c r="R183" s="233"/>
      <c r="Y183" s="233"/>
    </row>
    <row r="184" spans="3:25" s="249" customFormat="1" x14ac:dyDescent="0.25">
      <c r="C184" s="255"/>
      <c r="G184" s="233"/>
      <c r="I184" s="233"/>
      <c r="J184" s="233"/>
      <c r="Q184" s="233"/>
      <c r="R184" s="233"/>
      <c r="Y184" s="233"/>
    </row>
    <row r="185" spans="3:25" s="249" customFormat="1" x14ac:dyDescent="0.25">
      <c r="C185" s="255"/>
      <c r="G185" s="233"/>
      <c r="I185" s="233"/>
      <c r="J185" s="233"/>
      <c r="Q185" s="233"/>
      <c r="R185" s="233"/>
      <c r="Y185" s="233"/>
    </row>
    <row r="186" spans="3:25" s="249" customFormat="1" x14ac:dyDescent="0.25">
      <c r="C186" s="255"/>
      <c r="G186" s="233"/>
      <c r="I186" s="233"/>
      <c r="J186" s="233"/>
      <c r="Q186" s="233"/>
      <c r="R186" s="233"/>
      <c r="Y186" s="233"/>
    </row>
    <row r="187" spans="3:25" s="249" customFormat="1" x14ac:dyDescent="0.25">
      <c r="C187" s="255"/>
      <c r="G187" s="233"/>
      <c r="I187" s="233"/>
      <c r="J187" s="233"/>
      <c r="Q187" s="233"/>
      <c r="R187" s="233"/>
      <c r="Y187" s="233"/>
    </row>
    <row r="188" spans="3:25" s="249" customFormat="1" x14ac:dyDescent="0.25">
      <c r="C188" s="255"/>
      <c r="G188" s="233"/>
      <c r="I188" s="233"/>
      <c r="J188" s="233"/>
      <c r="Q188" s="233"/>
      <c r="R188" s="233"/>
      <c r="Y188" s="233"/>
    </row>
    <row r="189" spans="3:25" s="249" customFormat="1" x14ac:dyDescent="0.25">
      <c r="C189" s="255"/>
      <c r="G189" s="233"/>
      <c r="I189" s="233"/>
      <c r="J189" s="233"/>
      <c r="Q189" s="233"/>
      <c r="R189" s="233"/>
      <c r="Y189" s="233"/>
    </row>
    <row r="190" spans="3:25" s="249" customFormat="1" x14ac:dyDescent="0.25">
      <c r="C190" s="255"/>
      <c r="G190" s="233"/>
      <c r="I190" s="233"/>
      <c r="J190" s="233"/>
      <c r="Q190" s="233"/>
      <c r="R190" s="233"/>
      <c r="Y190" s="233"/>
    </row>
    <row r="191" spans="3:25" s="249" customFormat="1" x14ac:dyDescent="0.25">
      <c r="C191" s="255"/>
      <c r="G191" s="233"/>
      <c r="I191" s="233"/>
      <c r="J191" s="233"/>
      <c r="Q191" s="233"/>
      <c r="R191" s="233"/>
      <c r="Y191" s="233"/>
    </row>
    <row r="192" spans="3:25" s="249" customFormat="1" x14ac:dyDescent="0.25">
      <c r="C192" s="255"/>
      <c r="G192" s="233"/>
      <c r="I192" s="233"/>
      <c r="J192" s="233"/>
      <c r="Q192" s="233"/>
      <c r="R192" s="233"/>
      <c r="Y192" s="233"/>
    </row>
    <row r="193" spans="3:25" s="249" customFormat="1" x14ac:dyDescent="0.25">
      <c r="C193" s="255"/>
      <c r="G193" s="233"/>
      <c r="I193" s="233"/>
      <c r="J193" s="233"/>
      <c r="Q193" s="233"/>
      <c r="R193" s="233"/>
      <c r="Y193" s="233"/>
    </row>
    <row r="194" spans="3:25" s="249" customFormat="1" x14ac:dyDescent="0.25">
      <c r="C194" s="255"/>
      <c r="G194" s="233"/>
      <c r="I194" s="233"/>
      <c r="J194" s="233"/>
      <c r="Q194" s="233"/>
      <c r="R194" s="233"/>
      <c r="Y194" s="233"/>
    </row>
    <row r="195" spans="3:25" s="249" customFormat="1" x14ac:dyDescent="0.25">
      <c r="C195" s="255"/>
      <c r="G195" s="233"/>
      <c r="I195" s="233"/>
      <c r="J195" s="233"/>
      <c r="Q195" s="233"/>
      <c r="R195" s="233"/>
      <c r="Y195" s="233"/>
    </row>
    <row r="196" spans="3:25" s="249" customFormat="1" x14ac:dyDescent="0.25">
      <c r="C196" s="255"/>
      <c r="G196" s="233"/>
      <c r="I196" s="233"/>
      <c r="J196" s="233"/>
      <c r="Q196" s="233"/>
      <c r="R196" s="233"/>
      <c r="Y196" s="233"/>
    </row>
    <row r="197" spans="3:25" s="249" customFormat="1" x14ac:dyDescent="0.25">
      <c r="C197" s="255"/>
      <c r="G197" s="233"/>
      <c r="I197" s="233"/>
      <c r="J197" s="233"/>
      <c r="Q197" s="233"/>
      <c r="R197" s="233"/>
      <c r="Y197" s="233"/>
    </row>
    <row r="198" spans="3:25" s="249" customFormat="1" x14ac:dyDescent="0.25">
      <c r="C198" s="255"/>
      <c r="G198" s="233"/>
      <c r="I198" s="233"/>
      <c r="J198" s="233"/>
      <c r="Q198" s="233"/>
      <c r="R198" s="233"/>
      <c r="Y198" s="233"/>
    </row>
    <row r="199" spans="3:25" s="249" customFormat="1" x14ac:dyDescent="0.25">
      <c r="C199" s="255"/>
      <c r="G199" s="233"/>
      <c r="I199" s="233"/>
      <c r="J199" s="233"/>
      <c r="Q199" s="233"/>
      <c r="R199" s="233"/>
      <c r="Y199" s="233"/>
    </row>
    <row r="200" spans="3:25" s="249" customFormat="1" x14ac:dyDescent="0.25">
      <c r="C200" s="255"/>
      <c r="G200" s="233"/>
      <c r="I200" s="233"/>
      <c r="J200" s="233"/>
      <c r="Q200" s="233"/>
      <c r="R200" s="233"/>
      <c r="Y200" s="233"/>
    </row>
    <row r="201" spans="3:25" s="249" customFormat="1" x14ac:dyDescent="0.25">
      <c r="C201" s="255"/>
      <c r="G201" s="233"/>
      <c r="I201" s="233"/>
      <c r="J201" s="233"/>
      <c r="Q201" s="233"/>
      <c r="R201" s="233"/>
      <c r="Y201" s="233"/>
    </row>
    <row r="202" spans="3:25" s="249" customFormat="1" x14ac:dyDescent="0.25">
      <c r="C202" s="255"/>
      <c r="G202" s="233"/>
      <c r="I202" s="233"/>
      <c r="J202" s="233"/>
      <c r="Q202" s="233"/>
      <c r="R202" s="233"/>
      <c r="Y202" s="233"/>
    </row>
    <row r="203" spans="3:25" s="249" customFormat="1" x14ac:dyDescent="0.25">
      <c r="C203" s="255"/>
      <c r="G203" s="233"/>
      <c r="I203" s="233"/>
      <c r="J203" s="233"/>
      <c r="Q203" s="233"/>
      <c r="R203" s="233"/>
      <c r="Y203" s="233"/>
    </row>
    <row r="204" spans="3:25" s="249" customFormat="1" x14ac:dyDescent="0.25">
      <c r="C204" s="255"/>
      <c r="G204" s="233"/>
      <c r="I204" s="233"/>
      <c r="J204" s="233"/>
      <c r="Q204" s="233"/>
      <c r="R204" s="233"/>
      <c r="Y204" s="233"/>
    </row>
    <row r="205" spans="3:25" s="249" customFormat="1" x14ac:dyDescent="0.25">
      <c r="C205" s="255"/>
      <c r="G205" s="233"/>
      <c r="I205" s="233"/>
      <c r="J205" s="233"/>
      <c r="Q205" s="233"/>
      <c r="R205" s="233"/>
      <c r="Y205" s="233"/>
    </row>
    <row r="206" spans="3:25" s="249" customFormat="1" x14ac:dyDescent="0.25">
      <c r="C206" s="255"/>
      <c r="G206" s="233"/>
      <c r="I206" s="233"/>
      <c r="J206" s="233"/>
      <c r="Q206" s="233"/>
      <c r="R206" s="233"/>
      <c r="Y206" s="233"/>
    </row>
    <row r="207" spans="3:25" s="249" customFormat="1" x14ac:dyDescent="0.25">
      <c r="C207" s="255"/>
      <c r="G207" s="233"/>
      <c r="I207" s="233"/>
      <c r="J207" s="233"/>
      <c r="Q207" s="233"/>
      <c r="R207" s="233"/>
      <c r="Y207" s="233"/>
    </row>
    <row r="208" spans="3:25" s="249" customFormat="1" x14ac:dyDescent="0.25">
      <c r="C208" s="255"/>
      <c r="G208" s="233"/>
      <c r="I208" s="233"/>
      <c r="J208" s="233"/>
      <c r="Q208" s="233"/>
      <c r="R208" s="233"/>
      <c r="Y208" s="233"/>
    </row>
    <row r="209" spans="3:25" s="249" customFormat="1" x14ac:dyDescent="0.25">
      <c r="C209" s="255"/>
      <c r="G209" s="233"/>
      <c r="I209" s="233"/>
      <c r="J209" s="233"/>
      <c r="Q209" s="233"/>
      <c r="R209" s="233"/>
      <c r="Y209" s="233"/>
    </row>
    <row r="210" spans="3:25" s="249" customFormat="1" x14ac:dyDescent="0.25">
      <c r="C210" s="255"/>
      <c r="G210" s="233"/>
      <c r="I210" s="233"/>
      <c r="J210" s="233"/>
      <c r="Q210" s="233"/>
      <c r="R210" s="233"/>
      <c r="Y210" s="233"/>
    </row>
    <row r="211" spans="3:25" s="249" customFormat="1" x14ac:dyDescent="0.25">
      <c r="C211" s="255"/>
      <c r="G211" s="233"/>
    </row>
    <row r="212" spans="3:25" s="249" customFormat="1" x14ac:dyDescent="0.25">
      <c r="C212" s="255"/>
      <c r="G212" s="233"/>
    </row>
    <row r="213" spans="3:25" s="249" customFormat="1" x14ac:dyDescent="0.25">
      <c r="C213" s="255"/>
      <c r="G213" s="233"/>
    </row>
    <row r="214" spans="3:25" s="249" customFormat="1" x14ac:dyDescent="0.25">
      <c r="C214" s="255"/>
      <c r="G214" s="233"/>
    </row>
    <row r="215" spans="3:25" s="249" customFormat="1" x14ac:dyDescent="0.25">
      <c r="C215" s="255"/>
      <c r="G215" s="233"/>
    </row>
    <row r="216" spans="3:25" s="249" customFormat="1" x14ac:dyDescent="0.25">
      <c r="C216" s="255"/>
      <c r="G216" s="233"/>
    </row>
    <row r="217" spans="3:25" s="249" customFormat="1" x14ac:dyDescent="0.25">
      <c r="C217" s="255"/>
      <c r="G217" s="233"/>
    </row>
    <row r="218" spans="3:25" s="249" customFormat="1" x14ac:dyDescent="0.25">
      <c r="C218" s="255"/>
      <c r="G218" s="233"/>
    </row>
    <row r="219" spans="3:25" s="249" customFormat="1" x14ac:dyDescent="0.25">
      <c r="C219" s="255"/>
      <c r="G219" s="233"/>
    </row>
    <row r="220" spans="3:25" s="249" customFormat="1" x14ac:dyDescent="0.25">
      <c r="C220" s="255"/>
      <c r="G220" s="233"/>
    </row>
    <row r="221" spans="3:25" s="249" customFormat="1" x14ac:dyDescent="0.25">
      <c r="C221" s="255"/>
      <c r="G221" s="233"/>
    </row>
    <row r="222" spans="3:25" s="249" customFormat="1" x14ac:dyDescent="0.25">
      <c r="C222" s="255"/>
      <c r="G222" s="233"/>
    </row>
    <row r="223" spans="3:25" s="249" customFormat="1" x14ac:dyDescent="0.25">
      <c r="C223" s="255"/>
      <c r="G223" s="233"/>
    </row>
    <row r="224" spans="3:25" s="249" customFormat="1" x14ac:dyDescent="0.25">
      <c r="C224" s="255"/>
      <c r="G224" s="233"/>
    </row>
    <row r="225" spans="3:7" s="249" customFormat="1" x14ac:dyDescent="0.25">
      <c r="C225" s="255"/>
      <c r="G225" s="233"/>
    </row>
    <row r="226" spans="3:7" s="249" customFormat="1" x14ac:dyDescent="0.25">
      <c r="C226" s="255"/>
      <c r="G226" s="233"/>
    </row>
    <row r="227" spans="3:7" s="249" customFormat="1" x14ac:dyDescent="0.25">
      <c r="C227" s="255"/>
      <c r="G227" s="233"/>
    </row>
    <row r="228" spans="3:7" s="249" customFormat="1" x14ac:dyDescent="0.25">
      <c r="C228" s="255"/>
      <c r="G228" s="233"/>
    </row>
    <row r="229" spans="3:7" s="249" customFormat="1" x14ac:dyDescent="0.25">
      <c r="C229" s="255"/>
      <c r="G229" s="233"/>
    </row>
    <row r="230" spans="3:7" s="249" customFormat="1" x14ac:dyDescent="0.25">
      <c r="C230" s="255"/>
      <c r="G230" s="233"/>
    </row>
    <row r="231" spans="3:7" s="249" customFormat="1" x14ac:dyDescent="0.25">
      <c r="C231" s="255"/>
      <c r="G231" s="233"/>
    </row>
    <row r="232" spans="3:7" s="249" customFormat="1" x14ac:dyDescent="0.25">
      <c r="C232" s="255"/>
      <c r="G232" s="233"/>
    </row>
    <row r="233" spans="3:7" s="249" customFormat="1" x14ac:dyDescent="0.25">
      <c r="C233" s="255"/>
      <c r="G233" s="233"/>
    </row>
    <row r="234" spans="3:7" s="249" customFormat="1" x14ac:dyDescent="0.25">
      <c r="C234" s="255"/>
      <c r="G234" s="233"/>
    </row>
    <row r="235" spans="3:7" s="249" customFormat="1" x14ac:dyDescent="0.25">
      <c r="C235" s="255"/>
      <c r="G235" s="233"/>
    </row>
    <row r="236" spans="3:7" s="249" customFormat="1" x14ac:dyDescent="0.25">
      <c r="C236" s="255"/>
      <c r="G236" s="233"/>
    </row>
    <row r="237" spans="3:7" s="249" customFormat="1" x14ac:dyDescent="0.25">
      <c r="C237" s="255"/>
      <c r="G237" s="233"/>
    </row>
    <row r="238" spans="3:7" s="249" customFormat="1" x14ac:dyDescent="0.25">
      <c r="C238" s="255"/>
      <c r="G238" s="233"/>
    </row>
    <row r="239" spans="3:7" s="249" customFormat="1" x14ac:dyDescent="0.25">
      <c r="C239" s="255"/>
      <c r="G239" s="233"/>
    </row>
    <row r="240" spans="3:7" s="249" customFormat="1" x14ac:dyDescent="0.25">
      <c r="C240" s="255"/>
      <c r="G240" s="233"/>
    </row>
    <row r="241" spans="3:7" s="249" customFormat="1" x14ac:dyDescent="0.25">
      <c r="C241" s="255"/>
      <c r="G241" s="233"/>
    </row>
    <row r="242" spans="3:7" s="249" customFormat="1" x14ac:dyDescent="0.25">
      <c r="C242" s="255"/>
      <c r="G242" s="233"/>
    </row>
    <row r="243" spans="3:7" s="249" customFormat="1" x14ac:dyDescent="0.25">
      <c r="C243" s="255"/>
      <c r="G243" s="233"/>
    </row>
    <row r="244" spans="3:7" s="249" customFormat="1" x14ac:dyDescent="0.25">
      <c r="C244" s="255"/>
      <c r="G244" s="233"/>
    </row>
    <row r="245" spans="3:7" s="249" customFormat="1" x14ac:dyDescent="0.25">
      <c r="C245" s="255"/>
      <c r="G245" s="233"/>
    </row>
    <row r="246" spans="3:7" s="249" customFormat="1" x14ac:dyDescent="0.25">
      <c r="C246" s="255"/>
      <c r="G246" s="233"/>
    </row>
    <row r="247" spans="3:7" s="249" customFormat="1" x14ac:dyDescent="0.25">
      <c r="C247" s="255"/>
      <c r="G247" s="233"/>
    </row>
    <row r="248" spans="3:7" s="249" customFormat="1" x14ac:dyDescent="0.25">
      <c r="C248" s="255"/>
      <c r="G248" s="233"/>
    </row>
    <row r="249" spans="3:7" s="249" customFormat="1" x14ac:dyDescent="0.25">
      <c r="C249" s="255"/>
      <c r="G249" s="233"/>
    </row>
    <row r="250" spans="3:7" s="249" customFormat="1" x14ac:dyDescent="0.25">
      <c r="C250" s="255"/>
      <c r="G250" s="233"/>
    </row>
    <row r="251" spans="3:7" s="249" customFormat="1" x14ac:dyDescent="0.25">
      <c r="C251" s="255"/>
      <c r="G251" s="233"/>
    </row>
    <row r="252" spans="3:7" s="249" customFormat="1" x14ac:dyDescent="0.25">
      <c r="C252" s="255"/>
      <c r="G252" s="233"/>
    </row>
    <row r="253" spans="3:7" s="249" customFormat="1" x14ac:dyDescent="0.25">
      <c r="C253" s="255"/>
      <c r="G253" s="233"/>
    </row>
    <row r="254" spans="3:7" s="249" customFormat="1" x14ac:dyDescent="0.25">
      <c r="C254" s="255"/>
      <c r="G254" s="233"/>
    </row>
    <row r="255" spans="3:7" s="249" customFormat="1" x14ac:dyDescent="0.25">
      <c r="C255" s="255"/>
      <c r="G255" s="233"/>
    </row>
    <row r="256" spans="3:7" s="249" customFormat="1" x14ac:dyDescent="0.25">
      <c r="C256" s="255"/>
      <c r="G256" s="233"/>
    </row>
    <row r="257" spans="3:7" s="249" customFormat="1" x14ac:dyDescent="0.25">
      <c r="C257" s="255"/>
      <c r="G257" s="233"/>
    </row>
    <row r="258" spans="3:7" s="249" customFormat="1" x14ac:dyDescent="0.25">
      <c r="C258" s="255"/>
      <c r="G258" s="233"/>
    </row>
    <row r="259" spans="3:7" s="249" customFormat="1" x14ac:dyDescent="0.25">
      <c r="C259" s="255"/>
      <c r="G259" s="233"/>
    </row>
    <row r="260" spans="3:7" s="249" customFormat="1" x14ac:dyDescent="0.25">
      <c r="C260" s="255"/>
      <c r="G260" s="233"/>
    </row>
    <row r="261" spans="3:7" s="249" customFormat="1" x14ac:dyDescent="0.25">
      <c r="C261" s="255"/>
      <c r="G261" s="233"/>
    </row>
    <row r="262" spans="3:7" s="249" customFormat="1" x14ac:dyDescent="0.25">
      <c r="C262" s="255"/>
      <c r="G262" s="233"/>
    </row>
    <row r="263" spans="3:7" s="249" customFormat="1" x14ac:dyDescent="0.25">
      <c r="C263" s="255"/>
      <c r="G263" s="233"/>
    </row>
    <row r="264" spans="3:7" s="249" customFormat="1" x14ac:dyDescent="0.25">
      <c r="C264" s="255"/>
      <c r="G264" s="233"/>
    </row>
    <row r="265" spans="3:7" s="249" customFormat="1" x14ac:dyDescent="0.25">
      <c r="C265" s="255"/>
      <c r="G265" s="233"/>
    </row>
    <row r="266" spans="3:7" s="249" customFormat="1" x14ac:dyDescent="0.25">
      <c r="C266" s="255"/>
      <c r="G266" s="233"/>
    </row>
    <row r="267" spans="3:7" s="249" customFormat="1" x14ac:dyDescent="0.25">
      <c r="C267" s="255"/>
      <c r="G267" s="233"/>
    </row>
    <row r="268" spans="3:7" s="249" customFormat="1" x14ac:dyDescent="0.25">
      <c r="C268" s="255"/>
      <c r="G268" s="233"/>
    </row>
    <row r="269" spans="3:7" s="249" customFormat="1" x14ac:dyDescent="0.25">
      <c r="C269" s="255"/>
      <c r="G269" s="233"/>
    </row>
    <row r="270" spans="3:7" s="249" customFormat="1" x14ac:dyDescent="0.25">
      <c r="C270" s="255"/>
      <c r="G270" s="233"/>
    </row>
    <row r="271" spans="3:7" s="249" customFormat="1" x14ac:dyDescent="0.25">
      <c r="C271" s="255"/>
      <c r="G271" s="233"/>
    </row>
    <row r="272" spans="3:7" s="249" customFormat="1" x14ac:dyDescent="0.25">
      <c r="C272" s="255"/>
      <c r="G272" s="233"/>
    </row>
    <row r="273" spans="3:7" s="249" customFormat="1" x14ac:dyDescent="0.25">
      <c r="C273" s="255"/>
      <c r="G273" s="233"/>
    </row>
    <row r="274" spans="3:7" s="249" customFormat="1" x14ac:dyDescent="0.25">
      <c r="C274" s="255"/>
      <c r="G274" s="233"/>
    </row>
    <row r="275" spans="3:7" s="249" customFormat="1" x14ac:dyDescent="0.25">
      <c r="C275" s="255"/>
      <c r="G275" s="233"/>
    </row>
    <row r="276" spans="3:7" s="249" customFormat="1" x14ac:dyDescent="0.25">
      <c r="C276" s="255"/>
      <c r="G276" s="233"/>
    </row>
    <row r="277" spans="3:7" s="249" customFormat="1" x14ac:dyDescent="0.25">
      <c r="C277" s="255"/>
      <c r="G277" s="233"/>
    </row>
    <row r="278" spans="3:7" s="249" customFormat="1" x14ac:dyDescent="0.25">
      <c r="C278" s="255"/>
      <c r="G278" s="233"/>
    </row>
    <row r="279" spans="3:7" s="249" customFormat="1" x14ac:dyDescent="0.25">
      <c r="C279" s="255"/>
      <c r="G279" s="233"/>
    </row>
    <row r="280" spans="3:7" s="249" customFormat="1" x14ac:dyDescent="0.25">
      <c r="C280" s="255"/>
      <c r="G280" s="233"/>
    </row>
    <row r="281" spans="3:7" s="249" customFormat="1" x14ac:dyDescent="0.25">
      <c r="C281" s="255"/>
      <c r="G281" s="233"/>
    </row>
    <row r="282" spans="3:7" s="249" customFormat="1" x14ac:dyDescent="0.25">
      <c r="C282" s="255"/>
      <c r="G282" s="233"/>
    </row>
    <row r="283" spans="3:7" s="249" customFormat="1" x14ac:dyDescent="0.25">
      <c r="C283" s="255"/>
      <c r="G283" s="233"/>
    </row>
    <row r="284" spans="3:7" s="249" customFormat="1" x14ac:dyDescent="0.25">
      <c r="C284" s="255"/>
      <c r="G284" s="233"/>
    </row>
    <row r="285" spans="3:7" s="249" customFormat="1" x14ac:dyDescent="0.25">
      <c r="C285" s="255"/>
      <c r="G285" s="233"/>
    </row>
    <row r="286" spans="3:7" s="249" customFormat="1" x14ac:dyDescent="0.25">
      <c r="C286" s="255"/>
      <c r="G286" s="233"/>
    </row>
    <row r="287" spans="3:7" s="249" customFormat="1" x14ac:dyDescent="0.25">
      <c r="C287" s="255"/>
      <c r="G287" s="233"/>
    </row>
    <row r="288" spans="3:7" s="249" customFormat="1" x14ac:dyDescent="0.25">
      <c r="C288" s="255"/>
      <c r="G288" s="233"/>
    </row>
    <row r="289" spans="3:7" s="249" customFormat="1" x14ac:dyDescent="0.25">
      <c r="C289" s="255"/>
      <c r="G289" s="233"/>
    </row>
    <row r="290" spans="3:7" s="249" customFormat="1" x14ac:dyDescent="0.25">
      <c r="C290" s="255"/>
      <c r="G290" s="233"/>
    </row>
    <row r="291" spans="3:7" s="249" customFormat="1" x14ac:dyDescent="0.25">
      <c r="C291" s="255"/>
      <c r="G291" s="233"/>
    </row>
    <row r="292" spans="3:7" s="249" customFormat="1" x14ac:dyDescent="0.25">
      <c r="C292" s="255"/>
      <c r="G292" s="233"/>
    </row>
    <row r="293" spans="3:7" s="249" customFormat="1" x14ac:dyDescent="0.25">
      <c r="C293" s="255"/>
      <c r="G293" s="233"/>
    </row>
    <row r="294" spans="3:7" s="249" customFormat="1" x14ac:dyDescent="0.25">
      <c r="C294" s="255"/>
      <c r="G294" s="233"/>
    </row>
    <row r="295" spans="3:7" s="249" customFormat="1" x14ac:dyDescent="0.25">
      <c r="C295" s="255"/>
      <c r="G295" s="233"/>
    </row>
    <row r="296" spans="3:7" s="249" customFormat="1" x14ac:dyDescent="0.25">
      <c r="C296" s="255"/>
      <c r="G296" s="233"/>
    </row>
    <row r="297" spans="3:7" s="249" customFormat="1" x14ac:dyDescent="0.25">
      <c r="C297" s="255"/>
      <c r="G297" s="233"/>
    </row>
    <row r="298" spans="3:7" s="249" customFormat="1" x14ac:dyDescent="0.25">
      <c r="C298" s="255"/>
      <c r="G298" s="233"/>
    </row>
    <row r="299" spans="3:7" s="249" customFormat="1" x14ac:dyDescent="0.25">
      <c r="C299" s="255"/>
      <c r="G299" s="233"/>
    </row>
    <row r="300" spans="3:7" s="249" customFormat="1" x14ac:dyDescent="0.25">
      <c r="C300" s="255"/>
      <c r="G300" s="233"/>
    </row>
    <row r="301" spans="3:7" s="249" customFormat="1" x14ac:dyDescent="0.25">
      <c r="C301" s="255"/>
      <c r="G301" s="233"/>
    </row>
    <row r="302" spans="3:7" s="249" customFormat="1" x14ac:dyDescent="0.25">
      <c r="C302" s="255"/>
      <c r="G302" s="233"/>
    </row>
    <row r="303" spans="3:7" s="249" customFormat="1" x14ac:dyDescent="0.25">
      <c r="C303" s="255"/>
      <c r="G303" s="233"/>
    </row>
    <row r="304" spans="3:7" s="249" customFormat="1" x14ac:dyDescent="0.25">
      <c r="C304" s="255"/>
      <c r="G304" s="233"/>
    </row>
    <row r="305" spans="3:7" s="249" customFormat="1" x14ac:dyDescent="0.25">
      <c r="C305" s="255"/>
      <c r="G305" s="233"/>
    </row>
    <row r="306" spans="3:7" s="249" customFormat="1" x14ac:dyDescent="0.25">
      <c r="C306" s="255"/>
      <c r="G306" s="233"/>
    </row>
    <row r="307" spans="3:7" s="249" customFormat="1" x14ac:dyDescent="0.25">
      <c r="C307" s="255"/>
      <c r="G307" s="233"/>
    </row>
    <row r="308" spans="3:7" s="249" customFormat="1" x14ac:dyDescent="0.25">
      <c r="C308" s="255"/>
      <c r="G308" s="233"/>
    </row>
    <row r="309" spans="3:7" s="249" customFormat="1" x14ac:dyDescent="0.25">
      <c r="C309" s="255"/>
      <c r="G309" s="233"/>
    </row>
    <row r="310" spans="3:7" s="249" customFormat="1" x14ac:dyDescent="0.25">
      <c r="C310" s="255"/>
      <c r="G310" s="233"/>
    </row>
    <row r="311" spans="3:7" s="249" customFormat="1" x14ac:dyDescent="0.25">
      <c r="C311" s="255"/>
      <c r="G311" s="233"/>
    </row>
    <row r="312" spans="3:7" s="249" customFormat="1" x14ac:dyDescent="0.25">
      <c r="C312" s="255"/>
      <c r="G312" s="233"/>
    </row>
    <row r="313" spans="3:7" s="249" customFormat="1" x14ac:dyDescent="0.25">
      <c r="C313" s="255"/>
      <c r="G313" s="233"/>
    </row>
    <row r="314" spans="3:7" s="249" customFormat="1" x14ac:dyDescent="0.25">
      <c r="C314" s="255"/>
      <c r="G314" s="233"/>
    </row>
    <row r="315" spans="3:7" s="249" customFormat="1" x14ac:dyDescent="0.25">
      <c r="C315" s="255"/>
      <c r="G315" s="233"/>
    </row>
    <row r="316" spans="3:7" s="249" customFormat="1" x14ac:dyDescent="0.25">
      <c r="C316" s="255"/>
      <c r="G316" s="233"/>
    </row>
    <row r="317" spans="3:7" s="249" customFormat="1" x14ac:dyDescent="0.25">
      <c r="C317" s="255"/>
      <c r="G317" s="233"/>
    </row>
    <row r="318" spans="3:7" s="249" customFormat="1" x14ac:dyDescent="0.25">
      <c r="C318" s="255"/>
      <c r="G318" s="233"/>
    </row>
    <row r="319" spans="3:7" s="249" customFormat="1" x14ac:dyDescent="0.25">
      <c r="C319" s="255"/>
      <c r="G319" s="233"/>
    </row>
    <row r="320" spans="3:7" s="249" customFormat="1" x14ac:dyDescent="0.25">
      <c r="C320" s="255"/>
      <c r="G320" s="233"/>
    </row>
    <row r="321" spans="3:7" s="249" customFormat="1" x14ac:dyDescent="0.25">
      <c r="C321" s="255"/>
      <c r="G321" s="233"/>
    </row>
    <row r="322" spans="3:7" s="249" customFormat="1" x14ac:dyDescent="0.25">
      <c r="C322" s="255"/>
      <c r="G322" s="233"/>
    </row>
    <row r="323" spans="3:7" s="249" customFormat="1" x14ac:dyDescent="0.25">
      <c r="C323" s="255"/>
      <c r="G323" s="233"/>
    </row>
    <row r="324" spans="3:7" s="249" customFormat="1" x14ac:dyDescent="0.25">
      <c r="C324" s="255"/>
      <c r="G324" s="233"/>
    </row>
    <row r="325" spans="3:7" s="249" customFormat="1" x14ac:dyDescent="0.25">
      <c r="C325" s="255"/>
      <c r="G325" s="233"/>
    </row>
    <row r="326" spans="3:7" s="249" customFormat="1" x14ac:dyDescent="0.25">
      <c r="C326" s="255"/>
      <c r="G326" s="233"/>
    </row>
    <row r="327" spans="3:7" s="249" customFormat="1" x14ac:dyDescent="0.25">
      <c r="C327" s="255"/>
      <c r="G327" s="233"/>
    </row>
    <row r="328" spans="3:7" s="249" customFormat="1" x14ac:dyDescent="0.25">
      <c r="C328" s="255"/>
      <c r="G328" s="233"/>
    </row>
    <row r="329" spans="3:7" s="249" customFormat="1" x14ac:dyDescent="0.25">
      <c r="C329" s="255"/>
      <c r="G329" s="233"/>
    </row>
    <row r="330" spans="3:7" s="249" customFormat="1" x14ac:dyDescent="0.25">
      <c r="C330" s="255"/>
      <c r="G330" s="233"/>
    </row>
    <row r="331" spans="3:7" s="249" customFormat="1" x14ac:dyDescent="0.25">
      <c r="C331" s="255"/>
      <c r="G331" s="233"/>
    </row>
    <row r="332" spans="3:7" s="249" customFormat="1" x14ac:dyDescent="0.25">
      <c r="C332" s="255"/>
      <c r="G332" s="233"/>
    </row>
    <row r="333" spans="3:7" s="249" customFormat="1" x14ac:dyDescent="0.25">
      <c r="C333" s="255"/>
      <c r="G333" s="233"/>
    </row>
    <row r="334" spans="3:7" s="249" customFormat="1" x14ac:dyDescent="0.25">
      <c r="C334" s="255"/>
      <c r="G334" s="233"/>
    </row>
    <row r="335" spans="3:7" s="249" customFormat="1" x14ac:dyDescent="0.25">
      <c r="C335" s="255"/>
      <c r="G335" s="233"/>
    </row>
    <row r="336" spans="3:7" s="249" customFormat="1" x14ac:dyDescent="0.25">
      <c r="C336" s="255"/>
      <c r="G336" s="233"/>
    </row>
    <row r="337" spans="3:7" s="249" customFormat="1" x14ac:dyDescent="0.25">
      <c r="C337" s="255"/>
      <c r="G337" s="233"/>
    </row>
    <row r="338" spans="3:7" s="249" customFormat="1" x14ac:dyDescent="0.25">
      <c r="C338" s="255"/>
      <c r="G338" s="233"/>
    </row>
    <row r="339" spans="3:7" s="249" customFormat="1" x14ac:dyDescent="0.25">
      <c r="C339" s="255"/>
      <c r="G339" s="233"/>
    </row>
    <row r="340" spans="3:7" s="249" customFormat="1" x14ac:dyDescent="0.25">
      <c r="C340" s="255"/>
      <c r="G340" s="233"/>
    </row>
    <row r="341" spans="3:7" s="249" customFormat="1" x14ac:dyDescent="0.25">
      <c r="C341" s="255"/>
      <c r="G341" s="233"/>
    </row>
    <row r="342" spans="3:7" s="249" customFormat="1" x14ac:dyDescent="0.25">
      <c r="C342" s="255"/>
      <c r="G342" s="233"/>
    </row>
    <row r="343" spans="3:7" s="249" customFormat="1" x14ac:dyDescent="0.25">
      <c r="C343" s="255"/>
      <c r="G343" s="233"/>
    </row>
    <row r="344" spans="3:7" s="249" customFormat="1" x14ac:dyDescent="0.25">
      <c r="C344" s="255"/>
      <c r="G344" s="233"/>
    </row>
    <row r="345" spans="3:7" s="249" customFormat="1" x14ac:dyDescent="0.25">
      <c r="C345" s="255"/>
      <c r="G345" s="233"/>
    </row>
    <row r="346" spans="3:7" s="249" customFormat="1" x14ac:dyDescent="0.25">
      <c r="C346" s="255"/>
      <c r="G346" s="233"/>
    </row>
    <row r="347" spans="3:7" s="249" customFormat="1" x14ac:dyDescent="0.25">
      <c r="C347" s="255"/>
      <c r="G347" s="233"/>
    </row>
    <row r="348" spans="3:7" s="249" customFormat="1" x14ac:dyDescent="0.25">
      <c r="C348" s="255"/>
      <c r="G348" s="233"/>
    </row>
    <row r="349" spans="3:7" s="249" customFormat="1" x14ac:dyDescent="0.25">
      <c r="C349" s="255"/>
      <c r="G349" s="233"/>
    </row>
    <row r="350" spans="3:7" s="249" customFormat="1" x14ac:dyDescent="0.25">
      <c r="C350" s="255"/>
      <c r="G350" s="233"/>
    </row>
    <row r="351" spans="3:7" s="249" customFormat="1" x14ac:dyDescent="0.25">
      <c r="C351" s="255"/>
      <c r="G351" s="233"/>
    </row>
    <row r="352" spans="3:7" s="249" customFormat="1" x14ac:dyDescent="0.25">
      <c r="C352" s="255"/>
      <c r="G352" s="233"/>
    </row>
    <row r="353" spans="3:7" s="249" customFormat="1" x14ac:dyDescent="0.25">
      <c r="C353" s="255"/>
      <c r="G353" s="233"/>
    </row>
    <row r="354" spans="3:7" s="249" customFormat="1" x14ac:dyDescent="0.25">
      <c r="C354" s="255"/>
      <c r="G354" s="233"/>
    </row>
    <row r="355" spans="3:7" s="249" customFormat="1" x14ac:dyDescent="0.25">
      <c r="C355" s="255"/>
      <c r="G355" s="233"/>
    </row>
    <row r="356" spans="3:7" s="249" customFormat="1" x14ac:dyDescent="0.25">
      <c r="C356" s="255"/>
      <c r="G356" s="233"/>
    </row>
    <row r="357" spans="3:7" s="249" customFormat="1" x14ac:dyDescent="0.25">
      <c r="C357" s="255"/>
      <c r="G357" s="233"/>
    </row>
    <row r="358" spans="3:7" s="249" customFormat="1" x14ac:dyDescent="0.25">
      <c r="C358" s="255"/>
      <c r="G358" s="233"/>
    </row>
    <row r="359" spans="3:7" s="249" customFormat="1" x14ac:dyDescent="0.25">
      <c r="C359" s="255"/>
      <c r="G359" s="233"/>
    </row>
    <row r="360" spans="3:7" s="249" customFormat="1" x14ac:dyDescent="0.25">
      <c r="C360" s="255"/>
      <c r="G360" s="233"/>
    </row>
    <row r="361" spans="3:7" s="249" customFormat="1" x14ac:dyDescent="0.25">
      <c r="C361" s="255"/>
      <c r="G361" s="233"/>
    </row>
    <row r="362" spans="3:7" s="249" customFormat="1" x14ac:dyDescent="0.25">
      <c r="C362" s="255"/>
      <c r="G362" s="233"/>
    </row>
    <row r="363" spans="3:7" s="249" customFormat="1" x14ac:dyDescent="0.25">
      <c r="C363" s="255"/>
      <c r="G363" s="233"/>
    </row>
    <row r="364" spans="3:7" s="249" customFormat="1" x14ac:dyDescent="0.25">
      <c r="C364" s="255"/>
      <c r="G364" s="233"/>
    </row>
    <row r="365" spans="3:7" s="249" customFormat="1" x14ac:dyDescent="0.25">
      <c r="C365" s="255"/>
      <c r="G365" s="233"/>
    </row>
    <row r="366" spans="3:7" s="249" customFormat="1" x14ac:dyDescent="0.25">
      <c r="C366" s="255"/>
      <c r="G366" s="233"/>
    </row>
    <row r="367" spans="3:7" s="249" customFormat="1" x14ac:dyDescent="0.25">
      <c r="C367" s="255"/>
      <c r="G367" s="233"/>
    </row>
    <row r="368" spans="3:7" s="249" customFormat="1" x14ac:dyDescent="0.25">
      <c r="C368" s="255"/>
      <c r="G368" s="233"/>
    </row>
    <row r="369" spans="3:7" s="249" customFormat="1" x14ac:dyDescent="0.25">
      <c r="C369" s="255"/>
      <c r="G369" s="233"/>
    </row>
    <row r="370" spans="3:7" s="249" customFormat="1" x14ac:dyDescent="0.25">
      <c r="C370" s="255"/>
      <c r="G370" s="233"/>
    </row>
    <row r="371" spans="3:7" s="249" customFormat="1" x14ac:dyDescent="0.25">
      <c r="C371" s="255"/>
      <c r="G371" s="233"/>
    </row>
    <row r="372" spans="3:7" s="249" customFormat="1" x14ac:dyDescent="0.25">
      <c r="C372" s="255"/>
      <c r="G372" s="233"/>
    </row>
    <row r="373" spans="3:7" s="249" customFormat="1" x14ac:dyDescent="0.25">
      <c r="C373" s="255"/>
      <c r="G373" s="233"/>
    </row>
    <row r="374" spans="3:7" s="249" customFormat="1" x14ac:dyDescent="0.25">
      <c r="C374" s="255"/>
      <c r="G374" s="233"/>
    </row>
    <row r="375" spans="3:7" s="249" customFormat="1" x14ac:dyDescent="0.25">
      <c r="C375" s="255"/>
      <c r="G375" s="233"/>
    </row>
    <row r="376" spans="3:7" s="249" customFormat="1" x14ac:dyDescent="0.25">
      <c r="C376" s="255"/>
      <c r="G376" s="233"/>
    </row>
    <row r="377" spans="3:7" s="249" customFormat="1" x14ac:dyDescent="0.25">
      <c r="C377" s="255"/>
      <c r="G377" s="233"/>
    </row>
    <row r="378" spans="3:7" s="249" customFormat="1" x14ac:dyDescent="0.25">
      <c r="C378" s="255"/>
      <c r="G378" s="233"/>
    </row>
    <row r="379" spans="3:7" s="249" customFormat="1" x14ac:dyDescent="0.25">
      <c r="C379" s="255"/>
      <c r="G379" s="233"/>
    </row>
    <row r="380" spans="3:7" s="249" customFormat="1" x14ac:dyDescent="0.25">
      <c r="C380" s="255"/>
      <c r="G380" s="233"/>
    </row>
    <row r="381" spans="3:7" s="249" customFormat="1" x14ac:dyDescent="0.25">
      <c r="C381" s="255"/>
      <c r="G381" s="233"/>
    </row>
    <row r="382" spans="3:7" s="249" customFormat="1" x14ac:dyDescent="0.25">
      <c r="C382" s="255"/>
      <c r="G382" s="233"/>
    </row>
    <row r="383" spans="3:7" s="249" customFormat="1" x14ac:dyDescent="0.25">
      <c r="C383" s="255"/>
      <c r="G383" s="233"/>
    </row>
    <row r="384" spans="3:7" s="249" customFormat="1" x14ac:dyDescent="0.25">
      <c r="C384" s="255"/>
      <c r="G384" s="233"/>
    </row>
    <row r="385" spans="3:7" s="249" customFormat="1" x14ac:dyDescent="0.25">
      <c r="C385" s="255"/>
      <c r="G385" s="233"/>
    </row>
    <row r="386" spans="3:7" s="249" customFormat="1" x14ac:dyDescent="0.25">
      <c r="C386" s="255"/>
      <c r="G386" s="233"/>
    </row>
    <row r="387" spans="3:7" s="249" customFormat="1" x14ac:dyDescent="0.25">
      <c r="C387" s="255"/>
      <c r="G387" s="233"/>
    </row>
    <row r="388" spans="3:7" s="249" customFormat="1" x14ac:dyDescent="0.25">
      <c r="C388" s="255"/>
      <c r="G388" s="233"/>
    </row>
    <row r="389" spans="3:7" s="249" customFormat="1" x14ac:dyDescent="0.25">
      <c r="C389" s="255"/>
      <c r="G389" s="233"/>
    </row>
    <row r="390" spans="3:7" s="249" customFormat="1" x14ac:dyDescent="0.25">
      <c r="C390" s="255"/>
      <c r="G390" s="233"/>
    </row>
    <row r="391" spans="3:7" s="249" customFormat="1" x14ac:dyDescent="0.25">
      <c r="C391" s="255"/>
      <c r="G391" s="233"/>
    </row>
    <row r="392" spans="3:7" s="249" customFormat="1" x14ac:dyDescent="0.25">
      <c r="C392" s="255"/>
      <c r="G392" s="233"/>
    </row>
    <row r="393" spans="3:7" s="249" customFormat="1" x14ac:dyDescent="0.25">
      <c r="C393" s="255"/>
      <c r="G393" s="233"/>
    </row>
    <row r="394" spans="3:7" s="249" customFormat="1" x14ac:dyDescent="0.25">
      <c r="C394" s="255"/>
      <c r="G394" s="233"/>
    </row>
    <row r="395" spans="3:7" s="249" customFormat="1" x14ac:dyDescent="0.25">
      <c r="C395" s="255"/>
      <c r="G395" s="233"/>
    </row>
    <row r="396" spans="3:7" s="249" customFormat="1" x14ac:dyDescent="0.25">
      <c r="C396" s="255"/>
      <c r="G396" s="233"/>
    </row>
    <row r="397" spans="3:7" s="249" customFormat="1" x14ac:dyDescent="0.25">
      <c r="C397" s="255"/>
      <c r="G397" s="233"/>
    </row>
    <row r="398" spans="3:7" s="249" customFormat="1" x14ac:dyDescent="0.25">
      <c r="C398" s="255"/>
      <c r="G398" s="233"/>
    </row>
    <row r="399" spans="3:7" s="249" customFormat="1" x14ac:dyDescent="0.25">
      <c r="C399" s="255"/>
      <c r="G399" s="233"/>
    </row>
    <row r="400" spans="3:7" x14ac:dyDescent="0.25">
      <c r="G400" s="233"/>
    </row>
    <row r="401" spans="7:7" x14ac:dyDescent="0.25">
      <c r="G401" s="233"/>
    </row>
    <row r="402" spans="7:7" x14ac:dyDescent="0.25">
      <c r="G402" s="233"/>
    </row>
    <row r="403" spans="7:7" x14ac:dyDescent="0.25">
      <c r="G403" s="233"/>
    </row>
    <row r="404" spans="7:7" x14ac:dyDescent="0.25">
      <c r="G404" s="233"/>
    </row>
    <row r="405" spans="7:7" x14ac:dyDescent="0.25">
      <c r="G405" s="233"/>
    </row>
    <row r="406" spans="7:7" x14ac:dyDescent="0.25">
      <c r="G406" s="233"/>
    </row>
    <row r="407" spans="7:7" x14ac:dyDescent="0.25">
      <c r="G407" s="233"/>
    </row>
    <row r="408" spans="7:7" x14ac:dyDescent="0.25">
      <c r="G408" s="233"/>
    </row>
    <row r="409" spans="7:7" x14ac:dyDescent="0.25">
      <c r="G409" s="233"/>
    </row>
    <row r="410" spans="7:7" x14ac:dyDescent="0.25">
      <c r="G410" s="233"/>
    </row>
    <row r="411" spans="7:7" x14ac:dyDescent="0.25">
      <c r="G411" s="233"/>
    </row>
    <row r="412" spans="7:7" x14ac:dyDescent="0.25">
      <c r="G412" s="233"/>
    </row>
    <row r="413" spans="7:7" x14ac:dyDescent="0.25">
      <c r="G413" s="233"/>
    </row>
    <row r="414" spans="7:7" x14ac:dyDescent="0.25">
      <c r="G414" s="233"/>
    </row>
    <row r="415" spans="7:7" x14ac:dyDescent="0.25">
      <c r="G415" s="233"/>
    </row>
    <row r="416" spans="7:7" x14ac:dyDescent="0.25">
      <c r="G416" s="233"/>
    </row>
    <row r="417" spans="7:7" x14ac:dyDescent="0.25">
      <c r="G417" s="233"/>
    </row>
    <row r="418" spans="7:7" x14ac:dyDescent="0.25">
      <c r="G418" s="233"/>
    </row>
    <row r="419" spans="7:7" x14ac:dyDescent="0.25">
      <c r="G419" s="233"/>
    </row>
    <row r="420" spans="7:7" x14ac:dyDescent="0.25">
      <c r="G420" s="233"/>
    </row>
    <row r="421" spans="7:7" x14ac:dyDescent="0.25">
      <c r="G421" s="233"/>
    </row>
    <row r="422" spans="7:7" x14ac:dyDescent="0.25">
      <c r="G422" s="233"/>
    </row>
    <row r="423" spans="7:7" x14ac:dyDescent="0.25">
      <c r="G423" s="233"/>
    </row>
    <row r="424" spans="7:7" x14ac:dyDescent="0.25">
      <c r="G424" s="233"/>
    </row>
    <row r="425" spans="7:7" x14ac:dyDescent="0.25">
      <c r="G425" s="233"/>
    </row>
    <row r="426" spans="7:7" x14ac:dyDescent="0.25">
      <c r="G426" s="233"/>
    </row>
    <row r="427" spans="7:7" x14ac:dyDescent="0.25">
      <c r="G427" s="233"/>
    </row>
    <row r="428" spans="7:7" x14ac:dyDescent="0.25">
      <c r="G428" s="233"/>
    </row>
    <row r="429" spans="7:7" x14ac:dyDescent="0.25">
      <c r="G429" s="233"/>
    </row>
    <row r="430" spans="7:7" x14ac:dyDescent="0.25">
      <c r="G430" s="233"/>
    </row>
    <row r="431" spans="7:7" x14ac:dyDescent="0.25">
      <c r="G431" s="233"/>
    </row>
    <row r="432" spans="7:7" x14ac:dyDescent="0.25">
      <c r="G432" s="233"/>
    </row>
    <row r="433" spans="7:7" x14ac:dyDescent="0.25">
      <c r="G433" s="233"/>
    </row>
    <row r="434" spans="7:7" x14ac:dyDescent="0.25">
      <c r="G434" s="233"/>
    </row>
    <row r="435" spans="7:7" x14ac:dyDescent="0.25">
      <c r="G435" s="233"/>
    </row>
    <row r="436" spans="7:7" x14ac:dyDescent="0.25">
      <c r="G436" s="233"/>
    </row>
    <row r="437" spans="7:7" x14ac:dyDescent="0.25">
      <c r="G437" s="233"/>
    </row>
    <row r="438" spans="7:7" x14ac:dyDescent="0.25">
      <c r="G438" s="233"/>
    </row>
    <row r="439" spans="7:7" x14ac:dyDescent="0.25">
      <c r="G439" s="233"/>
    </row>
    <row r="440" spans="7:7" x14ac:dyDescent="0.25">
      <c r="G440" s="233"/>
    </row>
    <row r="441" spans="7:7" x14ac:dyDescent="0.25">
      <c r="G441" s="233"/>
    </row>
    <row r="442" spans="7:7" x14ac:dyDescent="0.25">
      <c r="G442" s="233"/>
    </row>
    <row r="443" spans="7:7" x14ac:dyDescent="0.25">
      <c r="G443" s="233"/>
    </row>
    <row r="444" spans="7:7" x14ac:dyDescent="0.25">
      <c r="G444" s="233"/>
    </row>
    <row r="445" spans="7:7" x14ac:dyDescent="0.25">
      <c r="G445" s="233"/>
    </row>
    <row r="446" spans="7:7" x14ac:dyDescent="0.25">
      <c r="G446" s="233"/>
    </row>
    <row r="447" spans="7:7" x14ac:dyDescent="0.25">
      <c r="G447" s="233"/>
    </row>
    <row r="448" spans="7:7" x14ac:dyDescent="0.25">
      <c r="G448" s="233"/>
    </row>
    <row r="449" spans="7:7" x14ac:dyDescent="0.25">
      <c r="G449" s="233"/>
    </row>
    <row r="450" spans="7:7" x14ac:dyDescent="0.25">
      <c r="G450" s="233"/>
    </row>
    <row r="451" spans="7:7" x14ac:dyDescent="0.25">
      <c r="G451" s="233"/>
    </row>
    <row r="452" spans="7:7" x14ac:dyDescent="0.25">
      <c r="G452" s="233"/>
    </row>
    <row r="453" spans="7:7" x14ac:dyDescent="0.25">
      <c r="G453" s="233"/>
    </row>
    <row r="454" spans="7:7" x14ac:dyDescent="0.25">
      <c r="G454" s="233"/>
    </row>
    <row r="455" spans="7:7" x14ac:dyDescent="0.25">
      <c r="G455" s="233"/>
    </row>
    <row r="456" spans="7:7" x14ac:dyDescent="0.25">
      <c r="G456" s="233"/>
    </row>
    <row r="457" spans="7:7" x14ac:dyDescent="0.25">
      <c r="G457" s="233"/>
    </row>
    <row r="458" spans="7:7" x14ac:dyDescent="0.25">
      <c r="G458" s="233"/>
    </row>
    <row r="459" spans="7:7" x14ac:dyDescent="0.25">
      <c r="G459" s="233"/>
    </row>
    <row r="460" spans="7:7" x14ac:dyDescent="0.25">
      <c r="G460" s="233"/>
    </row>
    <row r="461" spans="7:7" x14ac:dyDescent="0.25">
      <c r="G461" s="233"/>
    </row>
    <row r="462" spans="7:7" x14ac:dyDescent="0.25">
      <c r="G462" s="233"/>
    </row>
    <row r="463" spans="7:7" x14ac:dyDescent="0.25">
      <c r="G463" s="233"/>
    </row>
    <row r="464" spans="7:7" x14ac:dyDescent="0.25">
      <c r="G464" s="233"/>
    </row>
    <row r="465" spans="7:7" x14ac:dyDescent="0.25">
      <c r="G465" s="233"/>
    </row>
    <row r="466" spans="7:7" x14ac:dyDescent="0.25">
      <c r="G466" s="233"/>
    </row>
    <row r="467" spans="7:7" x14ac:dyDescent="0.25">
      <c r="G467" s="233"/>
    </row>
    <row r="468" spans="7:7" x14ac:dyDescent="0.25">
      <c r="G468" s="233"/>
    </row>
    <row r="469" spans="7:7" x14ac:dyDescent="0.25">
      <c r="G469" s="233"/>
    </row>
    <row r="470" spans="7:7" x14ac:dyDescent="0.25">
      <c r="G470" s="233"/>
    </row>
    <row r="471" spans="7:7" x14ac:dyDescent="0.25">
      <c r="G471" s="233"/>
    </row>
    <row r="472" spans="7:7" x14ac:dyDescent="0.25">
      <c r="G472" s="233"/>
    </row>
    <row r="473" spans="7:7" x14ac:dyDescent="0.25">
      <c r="G473" s="233"/>
    </row>
    <row r="474" spans="7:7" x14ac:dyDescent="0.25">
      <c r="G474" s="233"/>
    </row>
    <row r="475" spans="7:7" x14ac:dyDescent="0.25">
      <c r="G475" s="233"/>
    </row>
    <row r="476" spans="7:7" x14ac:dyDescent="0.25">
      <c r="G476" s="233"/>
    </row>
    <row r="477" spans="7:7" x14ac:dyDescent="0.25">
      <c r="G477" s="233"/>
    </row>
    <row r="478" spans="7:7" x14ac:dyDescent="0.25">
      <c r="G478" s="233"/>
    </row>
    <row r="479" spans="7:7" x14ac:dyDescent="0.25">
      <c r="G479" s="233"/>
    </row>
    <row r="480" spans="7:7" x14ac:dyDescent="0.25">
      <c r="G480" s="233"/>
    </row>
    <row r="481" spans="7:7" x14ac:dyDescent="0.25">
      <c r="G481" s="233"/>
    </row>
    <row r="482" spans="7:7" x14ac:dyDescent="0.25">
      <c r="G482" s="233"/>
    </row>
    <row r="483" spans="7:7" x14ac:dyDescent="0.25">
      <c r="G483" s="233"/>
    </row>
    <row r="484" spans="7:7" x14ac:dyDescent="0.25">
      <c r="G484" s="233"/>
    </row>
    <row r="485" spans="7:7" x14ac:dyDescent="0.25">
      <c r="G485" s="233"/>
    </row>
    <row r="486" spans="7:7" x14ac:dyDescent="0.25">
      <c r="G486" s="233"/>
    </row>
    <row r="487" spans="7:7" x14ac:dyDescent="0.25">
      <c r="G487" s="233"/>
    </row>
    <row r="488" spans="7:7" x14ac:dyDescent="0.25">
      <c r="G488" s="233"/>
    </row>
    <row r="489" spans="7:7" x14ac:dyDescent="0.25">
      <c r="G489" s="233"/>
    </row>
    <row r="490" spans="7:7" x14ac:dyDescent="0.25">
      <c r="G490" s="233"/>
    </row>
    <row r="491" spans="7:7" x14ac:dyDescent="0.25">
      <c r="G491" s="233"/>
    </row>
    <row r="492" spans="7:7" x14ac:dyDescent="0.25">
      <c r="G492" s="233"/>
    </row>
    <row r="493" spans="7:7" x14ac:dyDescent="0.25">
      <c r="G493" s="233"/>
    </row>
    <row r="494" spans="7:7" x14ac:dyDescent="0.25">
      <c r="G494" s="233"/>
    </row>
    <row r="495" spans="7:7" x14ac:dyDescent="0.25">
      <c r="G495" s="233"/>
    </row>
    <row r="496" spans="7:7" x14ac:dyDescent="0.25">
      <c r="G496" s="233"/>
    </row>
    <row r="497" spans="7:7" x14ac:dyDescent="0.25">
      <c r="G497" s="233"/>
    </row>
    <row r="498" spans="7:7" x14ac:dyDescent="0.25">
      <c r="G498" s="233"/>
    </row>
    <row r="499" spans="7:7" x14ac:dyDescent="0.25">
      <c r="G499" s="233"/>
    </row>
    <row r="500" spans="7:7" x14ac:dyDescent="0.25">
      <c r="G500" s="233"/>
    </row>
    <row r="501" spans="7:7" x14ac:dyDescent="0.25">
      <c r="G501" s="233"/>
    </row>
    <row r="502" spans="7:7" x14ac:dyDescent="0.25">
      <c r="G502" s="233"/>
    </row>
    <row r="503" spans="7:7" x14ac:dyDescent="0.25">
      <c r="G503" s="233"/>
    </row>
    <row r="504" spans="7:7" x14ac:dyDescent="0.25">
      <c r="G504" s="233"/>
    </row>
    <row r="505" spans="7:7" x14ac:dyDescent="0.25">
      <c r="G505" s="233"/>
    </row>
    <row r="506" spans="7:7" x14ac:dyDescent="0.25">
      <c r="G506" s="233"/>
    </row>
    <row r="507" spans="7:7" x14ac:dyDescent="0.25">
      <c r="G507" s="233"/>
    </row>
    <row r="508" spans="7:7" x14ac:dyDescent="0.25">
      <c r="G508" s="233"/>
    </row>
    <row r="509" spans="7:7" x14ac:dyDescent="0.25">
      <c r="G509" s="233"/>
    </row>
    <row r="510" spans="7:7" x14ac:dyDescent="0.25">
      <c r="G510" s="233"/>
    </row>
    <row r="511" spans="7:7" x14ac:dyDescent="0.25">
      <c r="G511" s="233"/>
    </row>
    <row r="512" spans="7:7" x14ac:dyDescent="0.25">
      <c r="G512" s="233"/>
    </row>
    <row r="513" spans="7:7" x14ac:dyDescent="0.25">
      <c r="G513" s="233"/>
    </row>
    <row r="514" spans="7:7" x14ac:dyDescent="0.25">
      <c r="G514" s="233"/>
    </row>
    <row r="515" spans="7:7" x14ac:dyDescent="0.25">
      <c r="G515" s="233"/>
    </row>
    <row r="516" spans="7:7" x14ac:dyDescent="0.25">
      <c r="G516" s="233"/>
    </row>
    <row r="517" spans="7:7" x14ac:dyDescent="0.25">
      <c r="G517" s="233"/>
    </row>
    <row r="518" spans="7:7" x14ac:dyDescent="0.25">
      <c r="G518" s="233"/>
    </row>
    <row r="519" spans="7:7" x14ac:dyDescent="0.25">
      <c r="G519" s="233"/>
    </row>
    <row r="520" spans="7:7" x14ac:dyDescent="0.25">
      <c r="G520" s="233"/>
    </row>
    <row r="521" spans="7:7" x14ac:dyDescent="0.25">
      <c r="G521" s="233"/>
    </row>
    <row r="522" spans="7:7" x14ac:dyDescent="0.25">
      <c r="G522" s="233"/>
    </row>
    <row r="523" spans="7:7" x14ac:dyDescent="0.25">
      <c r="G523" s="233"/>
    </row>
    <row r="524" spans="7:7" x14ac:dyDescent="0.25">
      <c r="G524" s="233"/>
    </row>
    <row r="525" spans="7:7" x14ac:dyDescent="0.25">
      <c r="G525" s="233"/>
    </row>
    <row r="526" spans="7:7" x14ac:dyDescent="0.25">
      <c r="G526" s="233"/>
    </row>
    <row r="527" spans="7:7" x14ac:dyDescent="0.25">
      <c r="G527" s="233"/>
    </row>
    <row r="528" spans="7:7" x14ac:dyDescent="0.25">
      <c r="G528" s="233"/>
    </row>
    <row r="529" spans="7:7" x14ac:dyDescent="0.25">
      <c r="G529" s="233"/>
    </row>
    <row r="530" spans="7:7" x14ac:dyDescent="0.25">
      <c r="G530" s="233"/>
    </row>
    <row r="531" spans="7:7" x14ac:dyDescent="0.25">
      <c r="G531" s="233"/>
    </row>
    <row r="532" spans="7:7" x14ac:dyDescent="0.25">
      <c r="G532" s="233"/>
    </row>
    <row r="533" spans="7:7" x14ac:dyDescent="0.25">
      <c r="G533" s="233"/>
    </row>
    <row r="534" spans="7:7" x14ac:dyDescent="0.25">
      <c r="G534" s="233"/>
    </row>
    <row r="535" spans="7:7" x14ac:dyDescent="0.25">
      <c r="G535" s="233"/>
    </row>
    <row r="536" spans="7:7" x14ac:dyDescent="0.25">
      <c r="G536" s="233"/>
    </row>
    <row r="537" spans="7:7" x14ac:dyDescent="0.25">
      <c r="G537" s="233"/>
    </row>
    <row r="538" spans="7:7" x14ac:dyDescent="0.25">
      <c r="G538" s="233"/>
    </row>
    <row r="539" spans="7:7" x14ac:dyDescent="0.25">
      <c r="G539" s="233"/>
    </row>
    <row r="540" spans="7:7" x14ac:dyDescent="0.25">
      <c r="G540" s="233"/>
    </row>
    <row r="541" spans="7:7" x14ac:dyDescent="0.25">
      <c r="G541" s="233"/>
    </row>
    <row r="542" spans="7:7" x14ac:dyDescent="0.25">
      <c r="G542" s="233"/>
    </row>
    <row r="543" spans="7:7" x14ac:dyDescent="0.25">
      <c r="G543" s="233"/>
    </row>
    <row r="544" spans="7:7" x14ac:dyDescent="0.25">
      <c r="G544" s="233"/>
    </row>
    <row r="545" spans="7:7" x14ac:dyDescent="0.25">
      <c r="G545" s="233"/>
    </row>
    <row r="546" spans="7:7" x14ac:dyDescent="0.25">
      <c r="G546" s="233"/>
    </row>
    <row r="547" spans="7:7" x14ac:dyDescent="0.25">
      <c r="G547" s="233"/>
    </row>
    <row r="548" spans="7:7" x14ac:dyDescent="0.25">
      <c r="G548" s="233"/>
    </row>
    <row r="549" spans="7:7" x14ac:dyDescent="0.25">
      <c r="G549" s="233"/>
    </row>
    <row r="550" spans="7:7" x14ac:dyDescent="0.25">
      <c r="G550" s="233"/>
    </row>
    <row r="551" spans="7:7" x14ac:dyDescent="0.25">
      <c r="G551" s="233"/>
    </row>
    <row r="552" spans="7:7" x14ac:dyDescent="0.25">
      <c r="G552" s="233"/>
    </row>
    <row r="553" spans="7:7" x14ac:dyDescent="0.25">
      <c r="G553" s="233"/>
    </row>
    <row r="554" spans="7:7" x14ac:dyDescent="0.25">
      <c r="G554" s="233"/>
    </row>
    <row r="555" spans="7:7" x14ac:dyDescent="0.25">
      <c r="G555" s="233"/>
    </row>
    <row r="556" spans="7:7" x14ac:dyDescent="0.25">
      <c r="G556" s="233"/>
    </row>
    <row r="557" spans="7:7" x14ac:dyDescent="0.25">
      <c r="G557" s="233"/>
    </row>
    <row r="558" spans="7:7" x14ac:dyDescent="0.25">
      <c r="G558" s="233"/>
    </row>
    <row r="559" spans="7:7" x14ac:dyDescent="0.25">
      <c r="G559" s="233"/>
    </row>
    <row r="560" spans="7:7" x14ac:dyDescent="0.25">
      <c r="G560" s="233"/>
    </row>
    <row r="561" spans="7:7" x14ac:dyDescent="0.25">
      <c r="G561" s="233"/>
    </row>
    <row r="562" spans="7:7" x14ac:dyDescent="0.25">
      <c r="G562" s="233"/>
    </row>
    <row r="563" spans="7:7" x14ac:dyDescent="0.25">
      <c r="G563" s="233"/>
    </row>
    <row r="564" spans="7:7" x14ac:dyDescent="0.25">
      <c r="G564" s="233"/>
    </row>
    <row r="565" spans="7:7" x14ac:dyDescent="0.25">
      <c r="G565" s="233"/>
    </row>
    <row r="566" spans="7:7" x14ac:dyDescent="0.25">
      <c r="G566" s="233"/>
    </row>
    <row r="567" spans="7:7" x14ac:dyDescent="0.25">
      <c r="G567" s="233"/>
    </row>
    <row r="568" spans="7:7" x14ac:dyDescent="0.25">
      <c r="G568" s="233"/>
    </row>
    <row r="569" spans="7:7" x14ac:dyDescent="0.25">
      <c r="G569" s="233"/>
    </row>
    <row r="570" spans="7:7" x14ac:dyDescent="0.25">
      <c r="G570" s="233"/>
    </row>
    <row r="571" spans="7:7" x14ac:dyDescent="0.25">
      <c r="G571" s="233"/>
    </row>
    <row r="572" spans="7:7" x14ac:dyDescent="0.25">
      <c r="G572" s="233"/>
    </row>
    <row r="573" spans="7:7" x14ac:dyDescent="0.25">
      <c r="G573" s="233"/>
    </row>
    <row r="574" spans="7:7" x14ac:dyDescent="0.25">
      <c r="G574" s="233"/>
    </row>
    <row r="575" spans="7:7" x14ac:dyDescent="0.25">
      <c r="G575" s="233"/>
    </row>
    <row r="576" spans="7:7" x14ac:dyDescent="0.25">
      <c r="G576" s="233"/>
    </row>
    <row r="577" spans="7:7" x14ac:dyDescent="0.25">
      <c r="G577" s="233"/>
    </row>
    <row r="578" spans="7:7" x14ac:dyDescent="0.25">
      <c r="G578" s="233"/>
    </row>
    <row r="579" spans="7:7" x14ac:dyDescent="0.25">
      <c r="G579" s="233"/>
    </row>
    <row r="580" spans="7:7" x14ac:dyDescent="0.25">
      <c r="G580" s="233"/>
    </row>
    <row r="581" spans="7:7" x14ac:dyDescent="0.25">
      <c r="G581" s="233"/>
    </row>
    <row r="582" spans="7:7" x14ac:dyDescent="0.25">
      <c r="G582" s="233"/>
    </row>
    <row r="583" spans="7:7" x14ac:dyDescent="0.25">
      <c r="G583" s="233"/>
    </row>
    <row r="584" spans="7:7" x14ac:dyDescent="0.25">
      <c r="G584" s="233"/>
    </row>
    <row r="585" spans="7:7" x14ac:dyDescent="0.25">
      <c r="G585" s="233"/>
    </row>
    <row r="586" spans="7:7" x14ac:dyDescent="0.25">
      <c r="G586" s="233"/>
    </row>
    <row r="587" spans="7:7" x14ac:dyDescent="0.25">
      <c r="G587" s="233"/>
    </row>
    <row r="588" spans="7:7" x14ac:dyDescent="0.25">
      <c r="G588" s="233"/>
    </row>
    <row r="589" spans="7:7" x14ac:dyDescent="0.25">
      <c r="G589" s="233"/>
    </row>
    <row r="590" spans="7:7" x14ac:dyDescent="0.25">
      <c r="G590" s="233"/>
    </row>
    <row r="591" spans="7:7" x14ac:dyDescent="0.25">
      <c r="G591" s="233"/>
    </row>
    <row r="592" spans="7:7" x14ac:dyDescent="0.25">
      <c r="G592" s="233"/>
    </row>
    <row r="593" spans="7:7" x14ac:dyDescent="0.25">
      <c r="G593" s="233"/>
    </row>
    <row r="594" spans="7:7" x14ac:dyDescent="0.25">
      <c r="G594" s="233"/>
    </row>
    <row r="595" spans="7:7" x14ac:dyDescent="0.25">
      <c r="G595" s="233"/>
    </row>
    <row r="596" spans="7:7" x14ac:dyDescent="0.25">
      <c r="G596" s="233"/>
    </row>
    <row r="597" spans="7:7" x14ac:dyDescent="0.25">
      <c r="G597" s="233"/>
    </row>
    <row r="598" spans="7:7" x14ac:dyDescent="0.25">
      <c r="G598" s="233"/>
    </row>
    <row r="599" spans="7:7" x14ac:dyDescent="0.25">
      <c r="G599" s="233"/>
    </row>
    <row r="600" spans="7:7" x14ac:dyDescent="0.25">
      <c r="G600" s="233"/>
    </row>
    <row r="601" spans="7:7" x14ac:dyDescent="0.25">
      <c r="G601" s="233"/>
    </row>
    <row r="602" spans="7:7" x14ac:dyDescent="0.25">
      <c r="G602" s="233"/>
    </row>
    <row r="603" spans="7:7" x14ac:dyDescent="0.25">
      <c r="G603" s="233"/>
    </row>
    <row r="604" spans="7:7" x14ac:dyDescent="0.25">
      <c r="G604" s="233"/>
    </row>
    <row r="605" spans="7:7" x14ac:dyDescent="0.25">
      <c r="G605" s="233"/>
    </row>
    <row r="606" spans="7:7" x14ac:dyDescent="0.25">
      <c r="G606" s="233"/>
    </row>
    <row r="607" spans="7:7" x14ac:dyDescent="0.25">
      <c r="G607" s="233"/>
    </row>
    <row r="608" spans="7:7" x14ac:dyDescent="0.25">
      <c r="G608" s="233"/>
    </row>
  </sheetData>
  <sheetCalcPr fullCalcOnLoad="1"/>
  <phoneticPr fontId="24" type="noConversion"/>
  <printOptions horizontalCentered="1" verticalCentered="1"/>
  <pageMargins left="0.78740157480314965" right="0.78740157480314965" top="0.31496062992125984" bottom="0.27559055118110237" header="0.19685039370078741" footer="0.15748031496062992"/>
  <pageSetup paperSize="9" scale="42" orientation="landscape" r:id="rId1"/>
  <headerFooter alignWithMargins="0">
    <oddFooter>&amp;LOp.Hop Inc&amp;C&amp;P</oddFooter>
  </headerFooter>
  <ignoredErrors>
    <ignoredError sqref="D18 E30:E53 AF76:AF120 F14:I120 U23 R58:AE120 AG14:AY120 U48 U15 U18 U30:U31 U34 U37 U39:U41 U44:U46 D55:D70 S55:S57 AB56:AB57 U56:U57 E54:E70 R14:R57 T14:T57 S14:S53 V14:Y57 Z55:Z57 Z14:Z53 AA14:AA57 AC14:AE57 AB15 AB18 AB23 AB30:AB31 AB34 AB37 AB39:AB41 AB44:AB46 AB48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zoomScale="70" zoomScaleNormal="70" workbookViewId="0">
      <pane xSplit="2" ySplit="11" topLeftCell="C12" activePane="bottomRight" state="frozen"/>
      <selection activeCell="F7" sqref="F7"/>
      <selection pane="topRight" activeCell="F7" sqref="F7"/>
      <selection pane="bottomLeft" activeCell="F7" sqref="F7"/>
      <selection pane="bottomRight" activeCell="D15" sqref="D15"/>
    </sheetView>
  </sheetViews>
  <sheetFormatPr defaultRowHeight="12.5" outlineLevelRow="1" outlineLevelCol="1" x14ac:dyDescent="0.25"/>
  <cols>
    <col min="1" max="1" width="58.1796875" bestFit="1" customWidth="1"/>
    <col min="2" max="2" width="14.54296875" bestFit="1" customWidth="1"/>
    <col min="3" max="3" width="2" style="5" bestFit="1" customWidth="1"/>
    <col min="4" max="4" width="10.1796875" bestFit="1" customWidth="1"/>
    <col min="5" max="5" width="9.81640625" customWidth="1"/>
    <col min="6" max="6" width="9.453125" bestFit="1" customWidth="1"/>
    <col min="7" max="7" width="12" bestFit="1" customWidth="1"/>
    <col min="8" max="9" width="9.54296875" hidden="1" customWidth="1" outlineLevel="1"/>
    <col min="10" max="10" width="10.81640625" hidden="1" customWidth="1" outlineLevel="1"/>
    <col min="11" max="11" width="7.81640625" customWidth="1" collapsed="1"/>
  </cols>
  <sheetData>
    <row r="1" spans="1:10" ht="13" x14ac:dyDescent="0.3">
      <c r="A1" s="8" t="str">
        <f>'P&amp;L'!C1</f>
        <v>Op.Hop Inc</v>
      </c>
    </row>
    <row r="2" spans="1:10" ht="13" x14ac:dyDescent="0.3">
      <c r="A2" s="8" t="str">
        <f>'P&amp;L'!C2</f>
        <v>January 2025</v>
      </c>
    </row>
    <row r="3" spans="1:10" ht="13" x14ac:dyDescent="0.3">
      <c r="A3" s="8" t="str">
        <f>'P&amp;L'!C3</f>
        <v>EUR/1000</v>
      </c>
    </row>
    <row r="4" spans="1:10" ht="14" x14ac:dyDescent="0.3">
      <c r="B4" s="232"/>
      <c r="C4" s="232"/>
      <c r="D4" s="202" t="s">
        <v>357</v>
      </c>
      <c r="E4" s="232"/>
      <c r="F4" s="232"/>
      <c r="G4" s="232"/>
      <c r="J4">
        <f>-5000-(-6000)</f>
        <v>1000</v>
      </c>
    </row>
    <row r="5" spans="1:10" ht="15.5" x14ac:dyDescent="0.35">
      <c r="B5" s="232"/>
      <c r="C5" s="232"/>
      <c r="D5" s="207" t="s">
        <v>15</v>
      </c>
      <c r="E5" s="232"/>
      <c r="F5" s="232"/>
      <c r="G5" s="232"/>
    </row>
    <row r="6" spans="1:10" ht="15.5" x14ac:dyDescent="0.35">
      <c r="B6" s="232"/>
      <c r="C6" s="232"/>
      <c r="D6" s="207" t="s">
        <v>16</v>
      </c>
      <c r="E6" s="232"/>
      <c r="F6" s="232"/>
      <c r="G6" s="232"/>
    </row>
    <row r="7" spans="1:10" ht="56.25" customHeight="1" thickBot="1" x14ac:dyDescent="0.3"/>
    <row r="8" spans="1:10" ht="13.5" thickBot="1" x14ac:dyDescent="0.35">
      <c r="A8" s="304"/>
      <c r="B8" s="305"/>
      <c r="C8" s="316"/>
      <c r="D8" s="177" t="str">
        <f>"YTD "&amp;UPPER(Cov!$D$20)</f>
        <v>YTD JANUARY 2025</v>
      </c>
      <c r="E8" s="173"/>
      <c r="F8" s="173"/>
      <c r="G8" s="197"/>
    </row>
    <row r="9" spans="1:10" ht="13.5" thickBot="1" x14ac:dyDescent="0.35">
      <c r="A9" s="306"/>
      <c r="B9" s="307"/>
      <c r="C9" s="316"/>
      <c r="D9" s="178"/>
      <c r="E9" s="174"/>
      <c r="F9" s="174"/>
      <c r="G9" s="193"/>
    </row>
    <row r="10" spans="1:10" ht="13.5" thickBot="1" x14ac:dyDescent="0.35">
      <c r="A10" s="308" t="s">
        <v>20</v>
      </c>
      <c r="B10" s="307"/>
      <c r="C10" s="317" t="s">
        <v>351</v>
      </c>
      <c r="D10" s="179" t="s">
        <v>157</v>
      </c>
      <c r="E10" s="175" t="s">
        <v>158</v>
      </c>
      <c r="F10" s="175" t="s">
        <v>154</v>
      </c>
      <c r="G10" s="194"/>
      <c r="J10" t="s">
        <v>368</v>
      </c>
    </row>
    <row r="11" spans="1:10" ht="13.5" thickBot="1" x14ac:dyDescent="0.35">
      <c r="A11" s="309"/>
      <c r="B11" s="310"/>
      <c r="C11" s="316"/>
      <c r="D11" s="180" t="s">
        <v>155</v>
      </c>
      <c r="E11" s="176" t="s">
        <v>155</v>
      </c>
      <c r="F11" s="176" t="s">
        <v>155</v>
      </c>
      <c r="G11" s="195" t="s">
        <v>156</v>
      </c>
      <c r="H11" t="s">
        <v>358</v>
      </c>
      <c r="I11" t="s">
        <v>359</v>
      </c>
      <c r="J11" s="340">
        <v>45657</v>
      </c>
    </row>
    <row r="12" spans="1:10" ht="26.25" customHeight="1" thickBot="1" x14ac:dyDescent="0.35">
      <c r="A12" s="23" t="s">
        <v>63</v>
      </c>
      <c r="B12" s="24"/>
      <c r="C12" s="32"/>
      <c r="D12" s="172">
        <f>'P&amp;L'!L37</f>
        <v>-911.46960000000081</v>
      </c>
      <c r="E12" s="318">
        <f>'P&amp;L'!N37</f>
        <v>-69.054771589792807</v>
      </c>
      <c r="F12" s="83">
        <f>D12-E12</f>
        <v>-842.41482841020797</v>
      </c>
      <c r="G12" s="296">
        <f>IF(E12=0,"-",F12/E12)</f>
        <v>12.199226918226863</v>
      </c>
    </row>
    <row r="13" spans="1:10" ht="13" x14ac:dyDescent="0.3">
      <c r="A13" s="25" t="s">
        <v>64</v>
      </c>
      <c r="B13" s="26"/>
      <c r="C13" s="32"/>
      <c r="D13" s="389"/>
      <c r="E13" s="319"/>
      <c r="F13" s="5"/>
      <c r="G13" s="6"/>
    </row>
    <row r="14" spans="1:10" ht="13" x14ac:dyDescent="0.3">
      <c r="A14" s="27" t="s">
        <v>65</v>
      </c>
      <c r="B14" s="28"/>
      <c r="C14" s="32"/>
      <c r="D14" s="389"/>
      <c r="E14" s="319"/>
      <c r="F14" s="5"/>
      <c r="G14" s="6"/>
    </row>
    <row r="15" spans="1:10" x14ac:dyDescent="0.25">
      <c r="A15" s="29" t="s">
        <v>66</v>
      </c>
      <c r="B15" s="28"/>
      <c r="C15" s="32"/>
      <c r="D15" s="390">
        <f t="shared" ref="D15:E17" si="0">$J15-H15</f>
        <v>496.69228248952277</v>
      </c>
      <c r="E15" s="320">
        <f>$J15-I15</f>
        <v>913.30425587053105</v>
      </c>
      <c r="F15" s="123">
        <f>D15-E15</f>
        <v>-416.61197338100828</v>
      </c>
      <c r="G15" s="297">
        <f>IF(E15=0,"-",F15/E15)</f>
        <v>-0.45615901897216904</v>
      </c>
      <c r="H15" s="123">
        <f>BS!D33+BS!D36</f>
        <v>-25970</v>
      </c>
      <c r="I15" s="123">
        <f>BS!F36+BS!F33</f>
        <v>-26386.611973381008</v>
      </c>
      <c r="J15" s="123">
        <f>BS!U33+BS!U36</f>
        <v>-25473.307717510477</v>
      </c>
    </row>
    <row r="16" spans="1:10" x14ac:dyDescent="0.25">
      <c r="A16" s="29" t="s">
        <v>67</v>
      </c>
      <c r="B16" s="28"/>
      <c r="C16" s="32"/>
      <c r="D16" s="390">
        <f t="shared" si="0"/>
        <v>-255.60597999999982</v>
      </c>
      <c r="E16" s="320">
        <f t="shared" si="0"/>
        <v>67.670000000000073</v>
      </c>
      <c r="F16" s="123">
        <f>D16-E16</f>
        <v>-323.27597999999989</v>
      </c>
      <c r="G16" s="297">
        <f>IF(E16=0,"-",F16/E16)</f>
        <v>-4.7772422048174903</v>
      </c>
      <c r="H16" s="123">
        <f>BS!D17</f>
        <v>-1740</v>
      </c>
      <c r="I16" s="123">
        <f>BS!F17</f>
        <v>-2063.2759799999999</v>
      </c>
      <c r="J16" s="123">
        <f>BS!U17</f>
        <v>-1995.6059799999998</v>
      </c>
    </row>
    <row r="17" spans="1:11" x14ac:dyDescent="0.25">
      <c r="A17" s="29" t="s">
        <v>68</v>
      </c>
      <c r="B17" s="28"/>
      <c r="C17" s="32"/>
      <c r="D17" s="390">
        <f t="shared" si="0"/>
        <v>1770.12925</v>
      </c>
      <c r="E17" s="320">
        <f t="shared" si="0"/>
        <v>44.752410069448842</v>
      </c>
      <c r="F17" s="123">
        <f>D17-E17</f>
        <v>1725.3768399305511</v>
      </c>
      <c r="G17" s="297">
        <f>IF(E17=0,"-",F17/E17)</f>
        <v>38.553830670862915</v>
      </c>
      <c r="H17" s="123">
        <f>BS!D43</f>
        <v>-3338</v>
      </c>
      <c r="I17" s="123">
        <f>+BS!F43</f>
        <v>-1612.6231600694489</v>
      </c>
      <c r="J17" s="123">
        <f>+BS!U43</f>
        <v>-1567.87075</v>
      </c>
    </row>
    <row r="18" spans="1:11" ht="13.5" thickBot="1" x14ac:dyDescent="0.35">
      <c r="A18" s="30" t="s">
        <v>360</v>
      </c>
      <c r="B18" s="31"/>
      <c r="C18" s="32"/>
      <c r="D18" s="391">
        <f>SUM(D12:D17)</f>
        <v>1099.7459524895221</v>
      </c>
      <c r="E18" s="321">
        <f>SUM(E12:E17)</f>
        <v>956.67189435018713</v>
      </c>
      <c r="F18" s="131">
        <f>D18-E18</f>
        <v>143.07405813933497</v>
      </c>
      <c r="G18" s="322">
        <f>IF(E18=0,"-",F18/E18)</f>
        <v>0.14955394737138905</v>
      </c>
    </row>
    <row r="19" spans="1:11" ht="25.5" customHeight="1" x14ac:dyDescent="0.3">
      <c r="A19" s="33" t="s">
        <v>69</v>
      </c>
      <c r="B19" s="34"/>
      <c r="C19" s="32"/>
      <c r="D19" s="392"/>
      <c r="E19" s="323"/>
      <c r="F19" s="2"/>
      <c r="G19" s="3"/>
    </row>
    <row r="20" spans="1:11" x14ac:dyDescent="0.25">
      <c r="A20" s="29" t="s">
        <v>70</v>
      </c>
      <c r="B20" s="35" t="s">
        <v>71</v>
      </c>
      <c r="C20" s="40"/>
      <c r="D20" s="390">
        <f>-H20+$J20</f>
        <v>1408.5227899999882</v>
      </c>
      <c r="E20" s="320">
        <f>-I20+$J20</f>
        <v>-6.2394580000000133</v>
      </c>
      <c r="F20" s="123">
        <f>D20-E20</f>
        <v>1414.7622479999882</v>
      </c>
      <c r="G20" s="297">
        <f>IF(E20=0,"-",F20/E20)</f>
        <v>-226.74441401801008</v>
      </c>
      <c r="H20" s="123">
        <f>BS!D16</f>
        <v>22445.924170000013</v>
      </c>
      <c r="I20" s="123">
        <f>+BS!F16</f>
        <v>23860.686418000001</v>
      </c>
      <c r="J20" s="123">
        <f>+BS!U16</f>
        <v>23854.446960000001</v>
      </c>
      <c r="K20" s="171"/>
    </row>
    <row r="21" spans="1:11" x14ac:dyDescent="0.25">
      <c r="A21" s="36" t="s">
        <v>72</v>
      </c>
      <c r="B21" s="35" t="s">
        <v>71</v>
      </c>
      <c r="C21" s="40"/>
      <c r="D21" s="390">
        <f t="shared" ref="D21:E24" si="1">$J21-H21</f>
        <v>497.79152425116081</v>
      </c>
      <c r="E21" s="320">
        <f t="shared" si="1"/>
        <v>-55.899456318060402</v>
      </c>
      <c r="F21" s="123">
        <f t="shared" ref="F21:F26" si="2">D21-E21</f>
        <v>553.69098056922121</v>
      </c>
      <c r="G21" s="297">
        <f t="shared" ref="G21:G26" si="3">IF(E21=0,"-",F21/E21)</f>
        <v>-9.9051228229983828</v>
      </c>
      <c r="H21" s="123">
        <f>SUM(BS!D19:D22,BS!D14)</f>
        <v>7374.8032299999995</v>
      </c>
      <c r="I21" s="123">
        <f>+SUM(BS!F19:F22,BS!F14)</f>
        <v>7928.4942105692207</v>
      </c>
      <c r="J21" s="123">
        <f>+SUM(BS!U19:U22,BS!U14)</f>
        <v>7872.5947542511603</v>
      </c>
      <c r="K21" s="171"/>
    </row>
    <row r="22" spans="1:11" x14ac:dyDescent="0.25">
      <c r="A22" s="29" t="s">
        <v>73</v>
      </c>
      <c r="B22" s="35" t="s">
        <v>74</v>
      </c>
      <c r="C22" s="40"/>
      <c r="D22" s="390">
        <f t="shared" si="1"/>
        <v>5132.2361799999999</v>
      </c>
      <c r="E22" s="320">
        <f t="shared" si="1"/>
        <v>446.72689406550489</v>
      </c>
      <c r="F22" s="123">
        <f t="shared" si="2"/>
        <v>4685.509285934495</v>
      </c>
      <c r="G22" s="297">
        <f t="shared" si="3"/>
        <v>10.488531915536397</v>
      </c>
      <c r="H22" s="123">
        <f>BS!D24</f>
        <v>-13537.594499999999</v>
      </c>
      <c r="I22" s="123">
        <f>+BS!F24</f>
        <v>-8852.0852140655043</v>
      </c>
      <c r="J22" s="123">
        <f>+BS!U24</f>
        <v>-8405.3583199999994</v>
      </c>
      <c r="K22" s="171"/>
    </row>
    <row r="23" spans="1:11" x14ac:dyDescent="0.25">
      <c r="A23" s="29" t="s">
        <v>75</v>
      </c>
      <c r="B23" s="35" t="s">
        <v>74</v>
      </c>
      <c r="C23" s="40"/>
      <c r="D23" s="390">
        <f t="shared" si="1"/>
        <v>-558.39458000000002</v>
      </c>
      <c r="E23" s="320">
        <f t="shared" si="1"/>
        <v>-55.954121562411046</v>
      </c>
      <c r="F23" s="123">
        <f t="shared" si="2"/>
        <v>-502.44045843758897</v>
      </c>
      <c r="G23" s="297">
        <f t="shared" si="3"/>
        <v>8.9795075752760862</v>
      </c>
      <c r="H23" s="123">
        <f>BS!D25+BS!D26</f>
        <v>-674.73827999999992</v>
      </c>
      <c r="I23" s="123">
        <f>+BS!F25+BS!F26</f>
        <v>-1177.1787384375889</v>
      </c>
      <c r="J23" s="123">
        <f>+BS!U25+BS!U26</f>
        <v>-1233.1328599999999</v>
      </c>
      <c r="K23" s="171"/>
    </row>
    <row r="24" spans="1:11" x14ac:dyDescent="0.25">
      <c r="A24" s="29" t="s">
        <v>76</v>
      </c>
      <c r="B24" s="35" t="s">
        <v>74</v>
      </c>
      <c r="C24" s="40"/>
      <c r="D24" s="388">
        <f t="shared" si="1"/>
        <v>2119.4406000000017</v>
      </c>
      <c r="E24" s="324">
        <f t="shared" si="1"/>
        <v>-462.44496521996007</v>
      </c>
      <c r="F24" s="325">
        <f t="shared" si="2"/>
        <v>2581.8855652199618</v>
      </c>
      <c r="G24" s="326">
        <f t="shared" si="3"/>
        <v>-5.5831196345534835</v>
      </c>
      <c r="H24" s="123">
        <f>BS!D27+BS!D28+BS!D29</f>
        <v>-12225.357030000001</v>
      </c>
      <c r="I24" s="123">
        <f>+BS!F27+BS!F28+BS!F29</f>
        <v>-9643.4714647800392</v>
      </c>
      <c r="J24" s="123">
        <f>+BS!U27+BS!U28+BS!U29</f>
        <v>-10105.916429999999</v>
      </c>
      <c r="K24" s="171"/>
    </row>
    <row r="25" spans="1:11" ht="13.5" thickBot="1" x14ac:dyDescent="0.35">
      <c r="A25" s="38" t="s">
        <v>361</v>
      </c>
      <c r="B25" s="39"/>
      <c r="C25" s="40"/>
      <c r="D25" s="393">
        <f>SUM(D20:D24)</f>
        <v>8599.5965142511504</v>
      </c>
      <c r="E25" s="436">
        <f>SUM(E20:E24)</f>
        <v>-133.81110703492664</v>
      </c>
      <c r="F25" s="393">
        <f>SUM(F20:F24)</f>
        <v>8733.4076212860782</v>
      </c>
      <c r="G25" s="329">
        <f t="shared" si="3"/>
        <v>-65.266686860355563</v>
      </c>
      <c r="I25" s="123"/>
      <c r="K25" s="171"/>
    </row>
    <row r="26" spans="1:11" ht="26.25" customHeight="1" thickBot="1" x14ac:dyDescent="0.35">
      <c r="A26" s="41" t="s">
        <v>362</v>
      </c>
      <c r="B26" s="42"/>
      <c r="C26" s="40"/>
      <c r="D26" s="172">
        <f>D25+D18</f>
        <v>9699.3424667406725</v>
      </c>
      <c r="E26" s="330">
        <f>E25+E18</f>
        <v>822.8607873152605</v>
      </c>
      <c r="F26" s="83">
        <f t="shared" si="2"/>
        <v>8876.4816794254111</v>
      </c>
      <c r="G26" s="296">
        <f t="shared" si="3"/>
        <v>10.787343152402022</v>
      </c>
      <c r="K26" s="171"/>
    </row>
    <row r="27" spans="1:11" ht="25.5" customHeight="1" x14ac:dyDescent="0.3">
      <c r="A27" s="33" t="s">
        <v>78</v>
      </c>
      <c r="B27" s="43"/>
      <c r="C27" s="40"/>
      <c r="D27" s="392"/>
      <c r="E27" s="323"/>
      <c r="F27" s="2"/>
      <c r="G27" s="3"/>
      <c r="K27" s="171"/>
    </row>
    <row r="28" spans="1:11" ht="13" x14ac:dyDescent="0.3">
      <c r="A28" s="29" t="s">
        <v>79</v>
      </c>
      <c r="B28" s="44" t="s">
        <v>80</v>
      </c>
      <c r="C28" s="113"/>
      <c r="D28" s="390">
        <f>$J28-H28</f>
        <v>1.1885799999872688</v>
      </c>
      <c r="E28" s="320">
        <f>$J28-I28</f>
        <v>-490.22904094919795</v>
      </c>
      <c r="F28" s="123">
        <f>D28-E28</f>
        <v>491.41762094918522</v>
      </c>
      <c r="G28" s="297">
        <f>IF(E28=0,"-",F28/E28)</f>
        <v>-1.0024245401653193</v>
      </c>
      <c r="H28" s="123">
        <f>BS!D32</f>
        <v>83515</v>
      </c>
      <c r="I28" s="123">
        <f>+BS!F32</f>
        <v>84006.417620949185</v>
      </c>
      <c r="J28" s="123">
        <f>+BS!U32</f>
        <v>83516.188579999987</v>
      </c>
      <c r="K28" s="171"/>
    </row>
    <row r="29" spans="1:11" x14ac:dyDescent="0.25">
      <c r="A29" s="29" t="s">
        <v>81</v>
      </c>
      <c r="B29" s="35" t="s">
        <v>71</v>
      </c>
      <c r="C29" s="40"/>
      <c r="D29" s="390">
        <f>$J29-H29</f>
        <v>-894.23977000000014</v>
      </c>
      <c r="E29" s="320">
        <f>$J29-I29</f>
        <v>-24.983333333333576</v>
      </c>
      <c r="F29" s="123">
        <f>D29-E29</f>
        <v>-869.25643666666656</v>
      </c>
      <c r="G29" s="297">
        <f>IF(E29=0,"-",F29/E29)</f>
        <v>34.793453102067701</v>
      </c>
      <c r="H29" s="123">
        <f>BS!D35+BS!D38</f>
        <v>21120.412980000001</v>
      </c>
      <c r="I29" s="123">
        <f>+BS!F35+BS!F38</f>
        <v>20251.156543333334</v>
      </c>
      <c r="J29" s="123">
        <f>+BS!U35+BS!U38</f>
        <v>20226.173210000001</v>
      </c>
      <c r="K29" s="171"/>
    </row>
    <row r="30" spans="1:11" ht="27.75" customHeight="1" thickBot="1" x14ac:dyDescent="0.35">
      <c r="A30" s="45" t="s">
        <v>363</v>
      </c>
      <c r="B30" s="46"/>
      <c r="C30" s="40"/>
      <c r="D30" s="393">
        <f>SUM(D28:D29)</f>
        <v>-893.05119000001287</v>
      </c>
      <c r="E30" s="327">
        <f>SUM(E28:E29)</f>
        <v>-515.21237428253153</v>
      </c>
      <c r="F30" s="328">
        <f>D30-E30</f>
        <v>-377.83881571748134</v>
      </c>
      <c r="G30" s="329">
        <f>IF(E30=0,"-",F30/E30)</f>
        <v>0.73336518022038533</v>
      </c>
      <c r="K30" s="171"/>
    </row>
    <row r="31" spans="1:11" ht="27" customHeight="1" thickBot="1" x14ac:dyDescent="0.35">
      <c r="A31" s="41" t="s">
        <v>364</v>
      </c>
      <c r="B31" s="42"/>
      <c r="C31" s="40"/>
      <c r="D31" s="190">
        <f>D26+D30</f>
        <v>8806.2912767406597</v>
      </c>
      <c r="E31" s="330">
        <f>E26+E30</f>
        <v>307.64841303272897</v>
      </c>
      <c r="F31" s="83">
        <f>D31-E31</f>
        <v>8498.6428637079298</v>
      </c>
      <c r="G31" s="296">
        <f>IF(E31=0,"-",F31/E31)</f>
        <v>27.62453015742944</v>
      </c>
      <c r="K31" s="171"/>
    </row>
    <row r="32" spans="1:11" ht="26.25" customHeight="1" x14ac:dyDescent="0.3">
      <c r="A32" s="33" t="s">
        <v>82</v>
      </c>
      <c r="B32" s="43"/>
      <c r="C32" s="40"/>
      <c r="D32" s="4"/>
      <c r="E32" s="319"/>
      <c r="F32" s="5"/>
      <c r="G32" s="6"/>
      <c r="K32" s="171"/>
    </row>
    <row r="33" spans="1:11" ht="13" x14ac:dyDescent="0.3">
      <c r="A33" s="37" t="s">
        <v>77</v>
      </c>
      <c r="B33" s="44" t="s">
        <v>84</v>
      </c>
      <c r="C33" s="40"/>
      <c r="D33" s="159">
        <f t="shared" ref="D33:E36" si="4">$J33-H33</f>
        <v>-5804</v>
      </c>
      <c r="E33" s="320">
        <f t="shared" si="4"/>
        <v>-159</v>
      </c>
      <c r="F33" s="123">
        <f t="shared" ref="F33:F38" si="5">D33-E33</f>
        <v>-5645</v>
      </c>
      <c r="G33" s="297">
        <f t="shared" ref="G33:G38" si="6">IF(E33=0,"-",F33/E33)</f>
        <v>35.503144654088054</v>
      </c>
      <c r="H33" s="123">
        <f>BS!D42</f>
        <v>0</v>
      </c>
      <c r="I33" s="123">
        <f>+BS!F42</f>
        <v>-5645</v>
      </c>
      <c r="J33" s="123">
        <f>+BS!U42</f>
        <v>-5804</v>
      </c>
      <c r="K33" s="171"/>
    </row>
    <row r="34" spans="1:11" ht="13" x14ac:dyDescent="0.3">
      <c r="A34" s="29" t="s">
        <v>83</v>
      </c>
      <c r="B34" s="44" t="s">
        <v>84</v>
      </c>
      <c r="C34" s="113"/>
      <c r="D34" s="159">
        <f t="shared" si="4"/>
        <v>0</v>
      </c>
      <c r="E34" s="320">
        <f t="shared" si="4"/>
        <v>0</v>
      </c>
      <c r="F34" s="123">
        <f t="shared" si="5"/>
        <v>0</v>
      </c>
      <c r="G34" s="297" t="str">
        <f t="shared" si="6"/>
        <v>-</v>
      </c>
      <c r="H34" s="123">
        <f>-BS!D49</f>
        <v>-4100</v>
      </c>
      <c r="I34" s="123">
        <f>-BS!F49</f>
        <v>-4100</v>
      </c>
      <c r="J34" s="123">
        <f>-BS!U49</f>
        <v>-4100</v>
      </c>
      <c r="K34" s="171"/>
    </row>
    <row r="35" spans="1:11" ht="13" x14ac:dyDescent="0.3">
      <c r="A35" s="37" t="s">
        <v>365</v>
      </c>
      <c r="B35" s="44" t="s">
        <v>84</v>
      </c>
      <c r="C35" s="113"/>
      <c r="D35" s="159">
        <f t="shared" si="4"/>
        <v>635.99199248736841</v>
      </c>
      <c r="E35" s="320">
        <f t="shared" si="4"/>
        <v>3.8179999974090606E-2</v>
      </c>
      <c r="F35" s="123">
        <f t="shared" si="5"/>
        <v>635.95381248739432</v>
      </c>
      <c r="G35" s="297">
        <f t="shared" si="6"/>
        <v>16656.726372942903</v>
      </c>
      <c r="H35" s="123">
        <f>-SUM(BS!D50:D53)</f>
        <v>-152381.23388000001</v>
      </c>
      <c r="I35" s="123">
        <f>-SUM(BS!F50:F53)</f>
        <v>-151745.28006751262</v>
      </c>
      <c r="J35" s="123">
        <f>-SUM(BS!U50:U54)</f>
        <v>-151745.24188751265</v>
      </c>
      <c r="K35" s="171"/>
    </row>
    <row r="36" spans="1:11" ht="13" x14ac:dyDescent="0.3">
      <c r="A36" s="37" t="s">
        <v>85</v>
      </c>
      <c r="B36" s="44" t="s">
        <v>84</v>
      </c>
      <c r="C36" s="113"/>
      <c r="D36" s="437">
        <f t="shared" si="4"/>
        <v>-414.75600000000003</v>
      </c>
      <c r="E36" s="324">
        <f t="shared" si="4"/>
        <v>-16.660000000000025</v>
      </c>
      <c r="F36" s="325">
        <f t="shared" si="5"/>
        <v>-398.096</v>
      </c>
      <c r="G36" s="326">
        <f t="shared" si="6"/>
        <v>23.895318127250864</v>
      </c>
      <c r="H36" s="123">
        <f>-BS!D55</f>
        <v>0</v>
      </c>
      <c r="I36" s="123">
        <f>-BS!F55</f>
        <v>-398.096</v>
      </c>
      <c r="J36" s="123">
        <f>-BS!U55</f>
        <v>-414.75600000000003</v>
      </c>
      <c r="K36" s="171"/>
    </row>
    <row r="37" spans="1:11" ht="28.5" customHeight="1" thickBot="1" x14ac:dyDescent="0.35">
      <c r="A37" s="38" t="s">
        <v>366</v>
      </c>
      <c r="B37" s="39"/>
      <c r="C37" s="40"/>
      <c r="D37" s="164">
        <f>SUM(D33:D36)</f>
        <v>-5582.7640075126319</v>
      </c>
      <c r="E37" s="331">
        <f>SUM(E33:E36)</f>
        <v>-175.62182000002593</v>
      </c>
      <c r="F37" s="133">
        <f t="shared" si="5"/>
        <v>-5407.1421875126061</v>
      </c>
      <c r="G37" s="332">
        <f t="shared" si="6"/>
        <v>30.788555701744851</v>
      </c>
    </row>
    <row r="38" spans="1:11" ht="27.75" customHeight="1" thickBot="1" x14ac:dyDescent="0.35">
      <c r="A38" s="333" t="s">
        <v>367</v>
      </c>
      <c r="B38" s="334"/>
      <c r="C38" s="40"/>
      <c r="D38" s="335">
        <f>D31+D37</f>
        <v>3223.5272692280278</v>
      </c>
      <c r="E38" s="336">
        <f>E31+E37</f>
        <v>132.02659303270303</v>
      </c>
      <c r="F38" s="337">
        <f t="shared" si="5"/>
        <v>3091.5006761953246</v>
      </c>
      <c r="G38" s="338">
        <f t="shared" si="6"/>
        <v>23.415742277236212</v>
      </c>
    </row>
    <row r="39" spans="1:11" ht="27" customHeight="1" x14ac:dyDescent="0.3">
      <c r="A39" s="47" t="s">
        <v>87</v>
      </c>
      <c r="B39" s="43"/>
      <c r="C39" s="40"/>
      <c r="D39" s="1"/>
      <c r="E39" s="323"/>
      <c r="F39" s="2"/>
      <c r="G39" s="3"/>
    </row>
    <row r="40" spans="1:11" ht="27" customHeight="1" x14ac:dyDescent="0.3">
      <c r="A40" s="48" t="s">
        <v>88</v>
      </c>
      <c r="B40" s="35"/>
      <c r="C40" s="40"/>
      <c r="D40" s="159">
        <f>-$J$40</f>
        <v>75376.014729999995</v>
      </c>
      <c r="E40" s="320">
        <f>-$J$40</f>
        <v>75376.014729999995</v>
      </c>
      <c r="F40" s="123">
        <f>D40-E40</f>
        <v>0</v>
      </c>
      <c r="G40" s="297">
        <f>IF(E40=0,"-",F40/E40)</f>
        <v>0</v>
      </c>
      <c r="H40" s="123"/>
      <c r="I40" s="123"/>
      <c r="J40" s="123">
        <f>BS!U47</f>
        <v>-75376.014729999995</v>
      </c>
    </row>
    <row r="41" spans="1:11" ht="13.5" thickBot="1" x14ac:dyDescent="0.35">
      <c r="A41" s="339" t="s">
        <v>89</v>
      </c>
      <c r="B41" s="35"/>
      <c r="C41" s="40"/>
      <c r="D41" s="159">
        <f>$H$41</f>
        <v>78599.429430000004</v>
      </c>
      <c r="E41" s="320">
        <f>I41</f>
        <v>75507.813033804676</v>
      </c>
      <c r="F41" s="123">
        <f>D41-E41</f>
        <v>3091.616396195328</v>
      </c>
      <c r="G41" s="297">
        <f>IF(E41=0,"-",F41/E41)</f>
        <v>4.0944324460982846E-2</v>
      </c>
      <c r="H41" s="123">
        <f>-BS!D47</f>
        <v>78599.429430000004</v>
      </c>
      <c r="I41" s="123">
        <f>-BS!F47</f>
        <v>75507.813033804676</v>
      </c>
      <c r="J41" s="123"/>
    </row>
    <row r="42" spans="1:11" ht="26.25" customHeight="1" thickBot="1" x14ac:dyDescent="0.35">
      <c r="A42" s="333" t="s">
        <v>86</v>
      </c>
      <c r="B42" s="334"/>
      <c r="C42" s="40"/>
      <c r="D42" s="335">
        <f>-D40+D41</f>
        <v>3223.4147000000085</v>
      </c>
      <c r="E42" s="336">
        <f>-E40+E41</f>
        <v>131.79830380468047</v>
      </c>
      <c r="F42" s="337">
        <f>D42-E42</f>
        <v>3091.616396195328</v>
      </c>
      <c r="G42" s="338">
        <f>IF(E42=0,"-",F42/E42)</f>
        <v>23.457178938941226</v>
      </c>
    </row>
    <row r="44" spans="1:11" hidden="1" outlineLevel="1" x14ac:dyDescent="0.25">
      <c r="D44" s="344">
        <f>D38-D42</f>
        <v>0.11256922801931069</v>
      </c>
      <c r="E44" s="344">
        <f>E38-E42</f>
        <v>0.22828922802256102</v>
      </c>
    </row>
    <row r="45" spans="1:11" collapsed="1" x14ac:dyDescent="0.25"/>
  </sheetData>
  <phoneticPr fontId="24" type="noConversion"/>
  <printOptions horizontalCentered="1" verticalCentered="1"/>
  <pageMargins left="0.78740157480314965" right="0.78740157480314965" top="0.31496062992125984" bottom="0.27559055118110237" header="0.19685039370078741" footer="0.15748031496062992"/>
  <pageSetup paperSize="9" scale="74" orientation="landscape" r:id="rId1"/>
  <headerFooter alignWithMargins="0">
    <oddFooter>&amp;LOp.Hop Inc&amp;C&amp;P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17</vt:i4>
      </vt:variant>
    </vt:vector>
  </HeadingPairs>
  <TitlesOfParts>
    <vt:vector size="30" baseType="lpstr">
      <vt:lpstr>Cover</vt:lpstr>
      <vt:lpstr>Cov</vt:lpstr>
      <vt:lpstr>Foglio1</vt:lpstr>
      <vt:lpstr>IN Bdg</vt:lpstr>
      <vt:lpstr>IN Act</vt:lpstr>
      <vt:lpstr>IN Py</vt:lpstr>
      <vt:lpstr>P&amp;L</vt:lpstr>
      <vt:lpstr>BS</vt:lpstr>
      <vt:lpstr>CF</vt:lpstr>
      <vt:lpstr>BackUp</vt:lpstr>
      <vt:lpstr>Cos_RD_Ho</vt:lpstr>
      <vt:lpstr>Opex</vt:lpstr>
      <vt:lpstr>Oth_Int_Ext</vt:lpstr>
      <vt:lpstr>'IN Py'!act_mon</vt:lpstr>
      <vt:lpstr>'IN Py'!act_ytd</vt:lpstr>
      <vt:lpstr>'IN Py'!Act2</vt:lpstr>
      <vt:lpstr>'IN Py'!Act3</vt:lpstr>
      <vt:lpstr>BS!Area_stampa</vt:lpstr>
      <vt:lpstr>CF!Area_stampa</vt:lpstr>
      <vt:lpstr>Cos_RD_Ho!Area_stampa</vt:lpstr>
      <vt:lpstr>Cov!Area_stampa</vt:lpstr>
      <vt:lpstr>Opex!Area_stampa</vt:lpstr>
      <vt:lpstr>Oth_Int_Ext!Area_stampa</vt:lpstr>
      <vt:lpstr>'P&amp;L'!Area_stampa</vt:lpstr>
      <vt:lpstr>Mese</vt:lpstr>
      <vt:lpstr>Month</vt:lpstr>
      <vt:lpstr>Cos_RD_Ho!Titoli_stampa</vt:lpstr>
      <vt:lpstr>Opex!Titoli_stampa</vt:lpstr>
      <vt:lpstr>Oth_Int_Ext!Titoli_stampa</vt:lpstr>
      <vt:lpstr>'P&amp;L'!Titoli_stampa</vt:lpstr>
    </vt:vector>
  </TitlesOfParts>
  <Company>Op Hop Su bel DURO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Gianclaudio Floria</dc:creator>
  <cp:lastModifiedBy>gianclaudio</cp:lastModifiedBy>
  <cp:lastPrinted>2005-09-11T08:22:21Z</cp:lastPrinted>
  <dcterms:created xsi:type="dcterms:W3CDTF">2002-02-26T16:19:22Z</dcterms:created>
  <dcterms:modified xsi:type="dcterms:W3CDTF">2021-10-17T20:21:53Z</dcterms:modified>
</cp:coreProperties>
</file>