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claudio\Google Drive\00 - Administrative stuff\05 - Libri e fatturazioni varie\01 - Libri\03 - CDG\v2021\Cap11\"/>
    </mc:Choice>
  </mc:AlternateContent>
  <xr:revisionPtr revIDLastSave="0" documentId="13_ncr:1_{7D19047B-8536-4A91-8991-57055B56441A}" xr6:coauthVersionLast="36" xr6:coauthVersionMax="36" xr10:uidLastSave="{00000000-0000-0000-0000-000000000000}"/>
  <bookViews>
    <workbookView xWindow="480" yWindow="20" windowWidth="5840" windowHeight="6480" xr2:uid="{00000000-000D-0000-FFFF-FFFF00000000}"/>
  </bookViews>
  <sheets>
    <sheet name="Elaborazione" sheetId="1" r:id="rId1"/>
    <sheet name="Report" sheetId="2" r:id="rId2"/>
  </sheets>
  <definedNames>
    <definedName name="Act_Price">Elaborazione!$H$2:$H$6</definedName>
    <definedName name="Act_Q">Elaborazione!$J$2:$J$6</definedName>
    <definedName name="Act_Q_Std_Mix">Elaborazione!$K$2:$K$6</definedName>
    <definedName name="Act_RM_Cost">Elaborazione!$F$2:$F$6</definedName>
    <definedName name="Act_WF_Cost">Elaborazione!$D$2:$D$6</definedName>
    <definedName name="Std_Price">Elaborazione!$G$2:$G$6</definedName>
    <definedName name="Std_Q">Elaborazione!$I$2:$I$6</definedName>
    <definedName name="Std_RM_Cost">Elaborazione!$E$2:$E$6</definedName>
    <definedName name="Std_WF_Cost">Elaborazione!$C$2:$C$6</definedName>
  </definedNames>
  <calcPr calcId="191029"/>
</workbook>
</file>

<file path=xl/calcChain.xml><?xml version="1.0" encoding="utf-8"?>
<calcChain xmlns="http://schemas.openxmlformats.org/spreadsheetml/2006/main">
  <c r="H11" i="1" l="1"/>
  <c r="G11" i="1"/>
  <c r="E11" i="1"/>
  <c r="D11" i="1"/>
  <c r="C11" i="1"/>
  <c r="H10" i="1"/>
  <c r="G10" i="1"/>
  <c r="E10" i="1"/>
  <c r="E12" i="1" s="1"/>
  <c r="D10" i="1"/>
  <c r="C10" i="1"/>
  <c r="J7" i="1"/>
  <c r="I7" i="1"/>
  <c r="K2" i="1" s="1"/>
  <c r="K5" i="1"/>
  <c r="K6" i="1"/>
  <c r="D12" i="1"/>
  <c r="C17" i="1" s="1"/>
  <c r="C12" i="1"/>
  <c r="G12" i="1"/>
  <c r="G17" i="1" s="1"/>
  <c r="H12" i="1"/>
  <c r="H13" i="1" s="1"/>
  <c r="C13" i="1"/>
  <c r="B17" i="1"/>
  <c r="C3" i="2"/>
  <c r="F3" i="2" s="1"/>
  <c r="J4" i="2" s="1"/>
  <c r="E13" i="1" l="1"/>
  <c r="D17" i="1"/>
  <c r="F11" i="1"/>
  <c r="K4" i="1"/>
  <c r="D13" i="1"/>
  <c r="K3" i="1"/>
  <c r="K7" i="1" s="1"/>
  <c r="H17" i="1"/>
  <c r="G13" i="1"/>
  <c r="F10" i="1"/>
  <c r="F12" i="1" s="1"/>
  <c r="E17" i="1" l="1"/>
  <c r="F17" i="1"/>
  <c r="F18" i="1" s="1"/>
  <c r="F13" i="1"/>
  <c r="C4" i="2" l="1"/>
  <c r="C5" i="2"/>
  <c r="H5" i="2" s="1"/>
  <c r="I5" i="2" s="1"/>
  <c r="C6" i="2"/>
  <c r="H6" i="2" s="1"/>
  <c r="I6" i="2" s="1"/>
  <c r="C7" i="2"/>
  <c r="H7" i="2" s="1"/>
  <c r="I7" i="2" s="1"/>
  <c r="C8" i="2"/>
  <c r="H8" i="2" s="1"/>
  <c r="I8" i="2" s="1"/>
  <c r="C18" i="1"/>
  <c r="D18" i="1"/>
  <c r="E18" i="1"/>
  <c r="G18" i="1"/>
  <c r="B8" i="2" l="1"/>
  <c r="E8" i="2" s="1"/>
  <c r="B7" i="2"/>
  <c r="E7" i="2" s="1"/>
  <c r="B6" i="2"/>
  <c r="E6" i="2" s="1"/>
  <c r="B5" i="2"/>
  <c r="E5" i="2" s="1"/>
  <c r="B4" i="2"/>
  <c r="E4" i="2" s="1"/>
  <c r="C9" i="2"/>
  <c r="F9" i="2" s="1"/>
  <c r="H4" i="2"/>
  <c r="I4" i="2" l="1"/>
  <c r="G4" i="2" s="1"/>
  <c r="J5" i="2"/>
  <c r="J6" i="2" l="1"/>
  <c r="G5" i="2"/>
  <c r="J7" i="2" l="1"/>
  <c r="G6" i="2"/>
  <c r="J8" i="2" l="1"/>
  <c r="G8" i="2" s="1"/>
  <c r="G7" i="2"/>
</calcChain>
</file>

<file path=xl/sharedStrings.xml><?xml version="1.0" encoding="utf-8"?>
<sst xmlns="http://schemas.openxmlformats.org/spreadsheetml/2006/main" count="41" uniqueCount="36">
  <si>
    <t>Prodotto 1</t>
  </si>
  <si>
    <t>Prodotto 2</t>
  </si>
  <si>
    <t>Prodotto 3</t>
  </si>
  <si>
    <t>Prodotto 4</t>
  </si>
  <si>
    <t>Prodotto 5</t>
  </si>
  <si>
    <t>Std Price</t>
  </si>
  <si>
    <t>Act Price</t>
  </si>
  <si>
    <t>Std Q</t>
  </si>
  <si>
    <t>Act Q</t>
  </si>
  <si>
    <t>Std RM Cost</t>
  </si>
  <si>
    <t>Act RM Cost</t>
  </si>
  <si>
    <t>Std WF Cost</t>
  </si>
  <si>
    <t>Act WF Cost</t>
  </si>
  <si>
    <t>Sales</t>
  </si>
  <si>
    <t>Costs</t>
  </si>
  <si>
    <t>%</t>
  </si>
  <si>
    <t>Flex WF</t>
  </si>
  <si>
    <t>Flex RM</t>
  </si>
  <si>
    <t>Flex Mix</t>
  </si>
  <si>
    <t>Budget</t>
  </si>
  <si>
    <t>Work Force</t>
  </si>
  <si>
    <t>Raw Materials</t>
  </si>
  <si>
    <t>Mix</t>
  </si>
  <si>
    <t>Actual</t>
  </si>
  <si>
    <t>Rank ---&gt;</t>
  </si>
  <si>
    <t>Volume</t>
  </si>
  <si>
    <t>Totals</t>
  </si>
  <si>
    <t>Hidden</t>
  </si>
  <si>
    <t>Price</t>
  </si>
  <si>
    <t>Gross Margin</t>
  </si>
  <si>
    <t>Act Q Std Mix</t>
  </si>
  <si>
    <t>Act Volume</t>
  </si>
  <si>
    <t>Standard</t>
  </si>
  <si>
    <t>Asc</t>
  </si>
  <si>
    <t>Desc</t>
  </si>
  <si>
    <t>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</si>
</sst>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0.0%"/>
    <numFmt numFmtId="167" formatCode="0.00,,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9"/>
      <name val="Trebuchet MS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55"/>
      </right>
      <top/>
      <bottom style="thick">
        <color indexed="64"/>
      </bottom>
      <diagonal/>
    </border>
    <border>
      <left style="thin">
        <color indexed="55"/>
      </left>
      <right style="thin">
        <color indexed="55"/>
      </right>
      <top/>
      <bottom style="thick">
        <color indexed="64"/>
      </bottom>
      <diagonal/>
    </border>
    <border>
      <left style="thin">
        <color indexed="55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ck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ck">
        <color indexed="64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/>
    <xf numFmtId="3" fontId="3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3" fillId="0" borderId="5" xfId="1" applyNumberFormat="1" applyFont="1" applyBorder="1" applyAlignment="1">
      <alignment horizontal="center"/>
    </xf>
    <xf numFmtId="3" fontId="3" fillId="0" borderId="6" xfId="1" applyNumberFormat="1" applyFont="1" applyBorder="1" applyAlignment="1">
      <alignment horizontal="center"/>
    </xf>
    <xf numFmtId="3" fontId="3" fillId="0" borderId="7" xfId="1" applyNumberFormat="1" applyFont="1" applyBorder="1" applyAlignment="1">
      <alignment horizontal="center"/>
    </xf>
    <xf numFmtId="3" fontId="3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166" fontId="3" fillId="0" borderId="10" xfId="2" applyNumberFormat="1" applyFont="1" applyBorder="1" applyAlignment="1">
      <alignment horizontal="center"/>
    </xf>
    <xf numFmtId="166" fontId="3" fillId="0" borderId="11" xfId="2" applyNumberFormat="1" applyFont="1" applyBorder="1" applyAlignment="1">
      <alignment horizontal="center"/>
    </xf>
    <xf numFmtId="166" fontId="3" fillId="0" borderId="12" xfId="2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3" xfId="0" applyFont="1" applyBorder="1"/>
    <xf numFmtId="3" fontId="4" fillId="0" borderId="3" xfId="0" applyNumberFormat="1" applyFont="1" applyBorder="1"/>
    <xf numFmtId="0" fontId="7" fillId="0" borderId="0" xfId="0" applyFont="1"/>
    <xf numFmtId="0" fontId="7" fillId="0" borderId="0" xfId="0" applyFont="1" applyBorder="1" applyAlignment="1">
      <alignment vertical="center"/>
    </xf>
    <xf numFmtId="3" fontId="3" fillId="0" borderId="11" xfId="0" applyNumberFormat="1" applyFont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center"/>
    </xf>
    <xf numFmtId="167" fontId="8" fillId="0" borderId="18" xfId="0" applyNumberFormat="1" applyFont="1" applyBorder="1" applyAlignment="1">
      <alignment horizontal="center"/>
    </xf>
    <xf numFmtId="167" fontId="8" fillId="0" borderId="19" xfId="0" applyNumberFormat="1" applyFont="1" applyBorder="1" applyAlignment="1">
      <alignment horizontal="center"/>
    </xf>
    <xf numFmtId="167" fontId="8" fillId="0" borderId="20" xfId="0" applyNumberFormat="1" applyFont="1" applyBorder="1" applyAlignment="1">
      <alignment horizontal="center"/>
    </xf>
    <xf numFmtId="0" fontId="8" fillId="0" borderId="21" xfId="0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center"/>
    </xf>
    <xf numFmtId="167" fontId="8" fillId="0" borderId="23" xfId="0" applyNumberFormat="1" applyFont="1" applyBorder="1" applyAlignment="1">
      <alignment horizontal="center"/>
    </xf>
    <xf numFmtId="167" fontId="8" fillId="0" borderId="24" xfId="0" applyNumberFormat="1" applyFont="1" applyBorder="1" applyAlignment="1">
      <alignment horizontal="center"/>
    </xf>
    <xf numFmtId="0" fontId="8" fillId="0" borderId="22" xfId="0" applyFont="1" applyBorder="1"/>
    <xf numFmtId="0" fontId="8" fillId="0" borderId="25" xfId="0" applyFont="1" applyBorder="1" applyAlignment="1">
      <alignment vertical="center"/>
    </xf>
    <xf numFmtId="167" fontId="8" fillId="0" borderId="26" xfId="0" applyNumberFormat="1" applyFont="1" applyBorder="1" applyAlignment="1">
      <alignment horizontal="center"/>
    </xf>
    <xf numFmtId="0" fontId="8" fillId="0" borderId="27" xfId="0" applyFont="1" applyBorder="1"/>
    <xf numFmtId="167" fontId="8" fillId="0" borderId="27" xfId="0" applyNumberFormat="1" applyFont="1" applyBorder="1" applyAlignment="1">
      <alignment horizontal="center"/>
    </xf>
    <xf numFmtId="0" fontId="8" fillId="0" borderId="28" xfId="0" applyFont="1" applyBorder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469387755102E-2"/>
          <c:y val="2.6881861568913649E-2"/>
          <c:w val="0.82908163265306123"/>
          <c:h val="0.752692123929582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00"/>
            </a:solidFill>
            <a:ln w="25400"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Georgia"/>
                    <a:ea typeface="Georgia"/>
                    <a:cs typeface="Georgi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Report!$B$4:$B$8</c:f>
              <c:strCache>
                <c:ptCount val="5"/>
                <c:pt idx="0">
                  <c:v>Volume</c:v>
                </c:pt>
                <c:pt idx="1">
                  <c:v>Price</c:v>
                </c:pt>
                <c:pt idx="2">
                  <c:v>Work Force</c:v>
                </c:pt>
                <c:pt idx="3">
                  <c:v>Raw Materials</c:v>
                </c:pt>
                <c:pt idx="4">
                  <c:v>Mix</c:v>
                </c:pt>
              </c:strCache>
            </c:strRef>
          </c:cat>
          <c:val>
            <c:numRef>
              <c:f>Report!$C$4:$C$8</c:f>
              <c:numCache>
                <c:formatCode>#,##0</c:formatCode>
                <c:ptCount val="5"/>
                <c:pt idx="0">
                  <c:v>164062.5</c:v>
                </c:pt>
                <c:pt idx="1">
                  <c:v>21500</c:v>
                </c:pt>
                <c:pt idx="2">
                  <c:v>-72500</c:v>
                </c:pt>
                <c:pt idx="3">
                  <c:v>-85000</c:v>
                </c:pt>
                <c:pt idx="4">
                  <c:v>-450062.5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  <a:effectLst>
                    <a:outerShdw blurRad="50800" dist="38100" algn="l" rotWithShape="0">
                      <a:prstClr val="black">
                        <a:alpha val="40000"/>
                      </a:prstClr>
                    </a:outerShdw>
                  </a:effectLst>
                  <a:scene3d>
                    <a:camera prst="orthographicFront"/>
                    <a:lightRig rig="threePt" dir="t"/>
                  </a:scene3d>
                  <a:sp3d>
                    <a:bevelT/>
                  </a:sp3d>
                </c14:spPr>
              </c14:invertSolidFillFmt>
            </c:ext>
            <c:ext xmlns:c16="http://schemas.microsoft.com/office/drawing/2014/chart" uri="{C3380CC4-5D6E-409C-BE32-E72D297353CC}">
              <c16:uniqueId val="{00000000-E7E7-4FF4-876A-E4CADD7F8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1740032"/>
        <c:axId val="91744896"/>
      </c:barChart>
      <c:catAx>
        <c:axId val="91740032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91744896"/>
        <c:crosses val="autoZero"/>
        <c:auto val="1"/>
        <c:lblAlgn val="ctr"/>
        <c:lblOffset val="100"/>
        <c:noMultiLvlLbl val="0"/>
      </c:catAx>
      <c:valAx>
        <c:axId val="9174489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,\k;[Red]\-#,##0,\k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it-IT"/>
          </a:p>
        </c:txPr>
        <c:crossAx val="91740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Georgia"/>
          <a:ea typeface="Georgia"/>
          <a:cs typeface="Georgi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55601659751037"/>
          <c:y val="0.11877439076864361"/>
          <c:w val="0.84439834024896265"/>
          <c:h val="0.5977033858034969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333399"/>
            </a:solidFill>
            <a:ln w="25400"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4200000"/>
              </a:lightRig>
            </a:scene3d>
            <a:sp3d>
              <a:bevelT h="25400"/>
              <a:bevelB w="0"/>
            </a:sp3d>
          </c:spPr>
          <c:invertIfNegative val="0"/>
          <c:cat>
            <c:strRef>
              <c:f>Report!$E$3:$E$9</c:f>
              <c:strCache>
                <c:ptCount val="7"/>
                <c:pt idx="0">
                  <c:v>Budget</c:v>
                </c:pt>
                <c:pt idx="1">
                  <c:v>Volume</c:v>
                </c:pt>
                <c:pt idx="2">
                  <c:v>Price</c:v>
                </c:pt>
                <c:pt idx="3">
                  <c:v>Work Force</c:v>
                </c:pt>
                <c:pt idx="4">
                  <c:v>Raw Materials</c:v>
                </c:pt>
                <c:pt idx="5">
                  <c:v>Mix</c:v>
                </c:pt>
                <c:pt idx="6">
                  <c:v>Actual</c:v>
                </c:pt>
              </c:strCache>
            </c:strRef>
          </c:cat>
          <c:val>
            <c:numRef>
              <c:f>Report!$F$3:$F$9</c:f>
              <c:numCache>
                <c:formatCode>0.00,,</c:formatCode>
                <c:ptCount val="7"/>
                <c:pt idx="0">
                  <c:v>1907500</c:v>
                </c:pt>
                <c:pt idx="6">
                  <c:v>1485500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7-46DA-A3AE-BC67C3E565CF}"/>
            </c:ext>
          </c:extLst>
        </c:ser>
        <c:ser>
          <c:idx val="1"/>
          <c:order val="1"/>
          <c:spPr>
            <a:noFill/>
            <a:ln w="25400">
              <a:noFill/>
            </a:ln>
          </c:spPr>
          <c:invertIfNegative val="0"/>
          <c:cat>
            <c:strRef>
              <c:f>Report!$E$3:$E$9</c:f>
              <c:strCache>
                <c:ptCount val="7"/>
                <c:pt idx="0">
                  <c:v>Budget</c:v>
                </c:pt>
                <c:pt idx="1">
                  <c:v>Volume</c:v>
                </c:pt>
                <c:pt idx="2">
                  <c:v>Price</c:v>
                </c:pt>
                <c:pt idx="3">
                  <c:v>Work Force</c:v>
                </c:pt>
                <c:pt idx="4">
                  <c:v>Raw Materials</c:v>
                </c:pt>
                <c:pt idx="5">
                  <c:v>Mix</c:v>
                </c:pt>
                <c:pt idx="6">
                  <c:v>Actual</c:v>
                </c:pt>
              </c:strCache>
            </c:strRef>
          </c:cat>
          <c:val>
            <c:numRef>
              <c:f>Report!$G$3:$G$9</c:f>
              <c:numCache>
                <c:formatCode>0.00,,</c:formatCode>
                <c:ptCount val="7"/>
                <c:pt idx="1">
                  <c:v>1907500</c:v>
                </c:pt>
                <c:pt idx="2">
                  <c:v>2071562.5</c:v>
                </c:pt>
                <c:pt idx="3">
                  <c:v>2020562.5</c:v>
                </c:pt>
                <c:pt idx="4">
                  <c:v>1935562.5</c:v>
                </c:pt>
                <c:pt idx="5">
                  <c:v>1485500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27-46DA-A3AE-BC67C3E565CF}"/>
            </c:ext>
          </c:extLst>
        </c:ser>
        <c:ser>
          <c:idx val="2"/>
          <c:order val="2"/>
          <c:spPr>
            <a:solidFill>
              <a:srgbClr val="99CC00"/>
            </a:solidFill>
            <a:ln w="25400"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h="38100"/>
            </a:sp3d>
          </c:spPr>
          <c:invertIfNegative val="0"/>
          <c:cat>
            <c:strRef>
              <c:f>Report!$E$3:$E$9</c:f>
              <c:strCache>
                <c:ptCount val="7"/>
                <c:pt idx="0">
                  <c:v>Budget</c:v>
                </c:pt>
                <c:pt idx="1">
                  <c:v>Volume</c:v>
                </c:pt>
                <c:pt idx="2">
                  <c:v>Price</c:v>
                </c:pt>
                <c:pt idx="3">
                  <c:v>Work Force</c:v>
                </c:pt>
                <c:pt idx="4">
                  <c:v>Raw Materials</c:v>
                </c:pt>
                <c:pt idx="5">
                  <c:v>Mix</c:v>
                </c:pt>
                <c:pt idx="6">
                  <c:v>Actual</c:v>
                </c:pt>
              </c:strCache>
            </c:strRef>
          </c:cat>
          <c:val>
            <c:numRef>
              <c:f>Report!$H$3:$H$9</c:f>
              <c:numCache>
                <c:formatCode>0.00,,</c:formatCode>
                <c:ptCount val="7"/>
                <c:pt idx="1">
                  <c:v>164062.5</c:v>
                </c:pt>
                <c:pt idx="2">
                  <c:v>21500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27-46DA-A3AE-BC67C3E565CF}"/>
            </c:ext>
          </c:extLst>
        </c:ser>
        <c:ser>
          <c:idx val="3"/>
          <c:order val="3"/>
          <c:spPr>
            <a:solidFill>
              <a:srgbClr val="FF6600"/>
            </a:solidFill>
            <a:ln w="25400"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h="38100"/>
            </a:sp3d>
          </c:spPr>
          <c:invertIfNegative val="0"/>
          <c:cat>
            <c:strRef>
              <c:f>Report!$E$3:$E$9</c:f>
              <c:strCache>
                <c:ptCount val="7"/>
                <c:pt idx="0">
                  <c:v>Budget</c:v>
                </c:pt>
                <c:pt idx="1">
                  <c:v>Volume</c:v>
                </c:pt>
                <c:pt idx="2">
                  <c:v>Price</c:v>
                </c:pt>
                <c:pt idx="3">
                  <c:v>Work Force</c:v>
                </c:pt>
                <c:pt idx="4">
                  <c:v>Raw Materials</c:v>
                </c:pt>
                <c:pt idx="5">
                  <c:v>Mix</c:v>
                </c:pt>
                <c:pt idx="6">
                  <c:v>Actual</c:v>
                </c:pt>
              </c:strCache>
            </c:strRef>
          </c:cat>
          <c:val>
            <c:numRef>
              <c:f>Report!$I$3:$I$9</c:f>
              <c:numCache>
                <c:formatCode>0.00,,</c:formatCode>
                <c:ptCount val="7"/>
                <c:pt idx="1">
                  <c:v>0</c:v>
                </c:pt>
                <c:pt idx="2">
                  <c:v>0</c:v>
                </c:pt>
                <c:pt idx="3">
                  <c:v>72500</c:v>
                </c:pt>
                <c:pt idx="4">
                  <c:v>85000</c:v>
                </c:pt>
                <c:pt idx="5">
                  <c:v>450062.5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27-46DA-A3AE-BC67C3E56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4441472"/>
        <c:axId val="97157120"/>
      </c:barChart>
      <c:catAx>
        <c:axId val="9444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it-IT"/>
          </a:p>
        </c:txPr>
        <c:crossAx val="9715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1571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,\k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it-IT"/>
          </a:p>
        </c:txPr>
        <c:crossAx val="94441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16</xdr:row>
      <xdr:rowOff>9525</xdr:rowOff>
    </xdr:from>
    <xdr:to>
      <xdr:col>10</xdr:col>
      <xdr:colOff>38100</xdr:colOff>
      <xdr:row>27</xdr:row>
      <xdr:rowOff>0</xdr:rowOff>
    </xdr:to>
    <xdr:graphicFrame macro="">
      <xdr:nvGraphicFramePr>
        <xdr:cNvPr id="3073" name="Chart 1025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485775</xdr:colOff>
      <xdr:row>0</xdr:row>
      <xdr:rowOff>28575</xdr:rowOff>
    </xdr:from>
    <xdr:to>
      <xdr:col>10</xdr:col>
      <xdr:colOff>581025</xdr:colOff>
      <xdr:row>13</xdr:row>
      <xdr:rowOff>142875</xdr:rowOff>
    </xdr:to>
    <xdr:graphicFrame macro="">
      <xdr:nvGraphicFramePr>
        <xdr:cNvPr id="3075" name="Chart 1027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showGridLines="0" tabSelected="1" workbookViewId="0">
      <selection activeCell="C18" sqref="C18"/>
    </sheetView>
  </sheetViews>
  <sheetFormatPr defaultColWidth="9.1796875" defaultRowHeight="13.5" x14ac:dyDescent="0.35"/>
  <cols>
    <col min="1" max="1" width="9.1796875" style="1"/>
    <col min="2" max="2" width="12" style="1" bestFit="1" customWidth="1"/>
    <col min="3" max="10" width="12.1796875" style="2" customWidth="1"/>
    <col min="11" max="11" width="12.1796875" style="1" customWidth="1"/>
    <col min="12" max="16384" width="9.1796875" style="1"/>
  </cols>
  <sheetData>
    <row r="1" spans="2:11" x14ac:dyDescent="0.35">
      <c r="C1" s="2" t="s">
        <v>11</v>
      </c>
      <c r="D1" s="2" t="s">
        <v>12</v>
      </c>
      <c r="E1" s="2" t="s">
        <v>9</v>
      </c>
      <c r="F1" s="2" t="s">
        <v>10</v>
      </c>
      <c r="G1" s="2" t="s">
        <v>5</v>
      </c>
      <c r="H1" s="2" t="s">
        <v>6</v>
      </c>
      <c r="I1" s="2" t="s">
        <v>7</v>
      </c>
      <c r="J1" s="2" t="s">
        <v>8</v>
      </c>
      <c r="K1" s="5" t="s">
        <v>30</v>
      </c>
    </row>
    <row r="2" spans="2:11" x14ac:dyDescent="0.35">
      <c r="B2" s="1" t="s">
        <v>0</v>
      </c>
      <c r="C2" s="4">
        <v>10</v>
      </c>
      <c r="D2" s="4">
        <v>11</v>
      </c>
      <c r="E2" s="3">
        <v>50</v>
      </c>
      <c r="F2" s="3">
        <v>55</v>
      </c>
      <c r="G2" s="3">
        <v>100</v>
      </c>
      <c r="H2" s="3">
        <v>99</v>
      </c>
      <c r="I2" s="3">
        <v>10000</v>
      </c>
      <c r="J2" s="3">
        <v>8500</v>
      </c>
      <c r="K2" s="6">
        <f>I2/$I$7*$J$7</f>
        <v>10937.5</v>
      </c>
    </row>
    <row r="3" spans="2:11" x14ac:dyDescent="0.35">
      <c r="B3" s="1" t="s">
        <v>1</v>
      </c>
      <c r="C3" s="4">
        <v>9</v>
      </c>
      <c r="D3" s="4">
        <v>9</v>
      </c>
      <c r="E3" s="3">
        <v>60</v>
      </c>
      <c r="F3" s="3">
        <v>56</v>
      </c>
      <c r="G3" s="3">
        <v>110</v>
      </c>
      <c r="H3" s="3">
        <v>130</v>
      </c>
      <c r="I3" s="3">
        <v>15000</v>
      </c>
      <c r="J3" s="3">
        <v>9000</v>
      </c>
      <c r="K3" s="6">
        <f>I3/$I$7*$J$7</f>
        <v>16406.25</v>
      </c>
    </row>
    <row r="4" spans="2:11" x14ac:dyDescent="0.35">
      <c r="B4" s="1" t="s">
        <v>2</v>
      </c>
      <c r="C4" s="4">
        <v>12</v>
      </c>
      <c r="D4" s="4">
        <v>15</v>
      </c>
      <c r="E4" s="3">
        <v>65</v>
      </c>
      <c r="F4" s="3">
        <v>62</v>
      </c>
      <c r="G4" s="3">
        <v>90</v>
      </c>
      <c r="H4" s="3">
        <v>85</v>
      </c>
      <c r="I4" s="3">
        <v>20000</v>
      </c>
      <c r="J4" s="3">
        <v>25000</v>
      </c>
      <c r="K4" s="6">
        <f>I4/$I$7*$J$7</f>
        <v>21875</v>
      </c>
    </row>
    <row r="5" spans="2:11" x14ac:dyDescent="0.35">
      <c r="B5" s="1" t="s">
        <v>3</v>
      </c>
      <c r="C5" s="4">
        <v>10</v>
      </c>
      <c r="D5" s="4">
        <v>9</v>
      </c>
      <c r="E5" s="3">
        <v>75</v>
      </c>
      <c r="F5" s="3">
        <v>70</v>
      </c>
      <c r="G5" s="3">
        <v>105</v>
      </c>
      <c r="H5" s="3">
        <v>110</v>
      </c>
      <c r="I5" s="3">
        <v>20000</v>
      </c>
      <c r="J5" s="3">
        <v>20000</v>
      </c>
      <c r="K5" s="6">
        <f>I5/$I$7*$J$7</f>
        <v>21875</v>
      </c>
    </row>
    <row r="6" spans="2:11" x14ac:dyDescent="0.35">
      <c r="B6" s="1" t="s">
        <v>4</v>
      </c>
      <c r="C6" s="4">
        <v>9.5</v>
      </c>
      <c r="D6" s="4">
        <v>11</v>
      </c>
      <c r="E6" s="3">
        <v>85</v>
      </c>
      <c r="F6" s="3">
        <v>102</v>
      </c>
      <c r="G6" s="3">
        <v>110</v>
      </c>
      <c r="H6" s="3">
        <v>105</v>
      </c>
      <c r="I6" s="30">
        <v>15000</v>
      </c>
      <c r="J6" s="30">
        <v>25000</v>
      </c>
      <c r="K6" s="31">
        <f>I6/$I$7*$J$7</f>
        <v>16406.25</v>
      </c>
    </row>
    <row r="7" spans="2:11" x14ac:dyDescent="0.35">
      <c r="I7" s="3">
        <f>SUM(I2:I6)</f>
        <v>80000</v>
      </c>
      <c r="J7" s="3">
        <f>SUM(J2:J6)</f>
        <v>87500</v>
      </c>
      <c r="K7" s="3">
        <f>SUM(K2:K6)</f>
        <v>87500</v>
      </c>
    </row>
    <row r="9" spans="2:11" x14ac:dyDescent="0.35">
      <c r="C9" s="32" t="s">
        <v>32</v>
      </c>
      <c r="D9" s="21" t="s">
        <v>17</v>
      </c>
      <c r="E9" s="21" t="s">
        <v>16</v>
      </c>
      <c r="F9" s="21" t="s">
        <v>18</v>
      </c>
      <c r="G9" s="21" t="s">
        <v>31</v>
      </c>
      <c r="H9" s="32" t="s">
        <v>23</v>
      </c>
    </row>
    <row r="10" spans="2:11" x14ac:dyDescent="0.35">
      <c r="B10" s="7" t="s">
        <v>13</v>
      </c>
      <c r="C10" s="11">
        <f>SUMPRODUCT(Std_Q,Std_Price)</f>
        <v>8200000</v>
      </c>
      <c r="D10" s="12">
        <f>SUMPRODUCT(Std_Q,Std_Price)</f>
        <v>8200000</v>
      </c>
      <c r="E10" s="12">
        <f>SUMPRODUCT(Std_Q,Std_Price)</f>
        <v>8200000</v>
      </c>
      <c r="F10" s="12">
        <f>SUMPRODUCT(Act_Q_Std_Mix,Std_Price)</f>
        <v>8968750</v>
      </c>
      <c r="G10" s="12">
        <f>SUMPRODUCT(Act_Q,Std_Price)</f>
        <v>8940000</v>
      </c>
      <c r="H10" s="13">
        <f>SUMPRODUCT(Act_Q,Act_Price)</f>
        <v>8961500</v>
      </c>
    </row>
    <row r="11" spans="2:11" x14ac:dyDescent="0.35">
      <c r="B11" s="7" t="s">
        <v>14</v>
      </c>
      <c r="C11" s="14">
        <f>SUMPRODUCT(Std_Q,Std_WF_Cost+Std_RM_Cost)</f>
        <v>6292500</v>
      </c>
      <c r="D11" s="15">
        <f>SUMPRODUCT(Std_Q,Std_WF_Cost+Act_RM_Cost)</f>
        <v>6377500</v>
      </c>
      <c r="E11" s="15">
        <f>SUMPRODUCT(Std_Q,Act_WF_Cost+Act_RM_Cost)</f>
        <v>6450000</v>
      </c>
      <c r="F11" s="15">
        <f>SUMPRODUCT(Act_Q_Std_Mix,Act_WF_Cost+Act_RM_Cost)</f>
        <v>7054687.5</v>
      </c>
      <c r="G11" s="15">
        <f>SUMPRODUCT(Act_Q,Act_WF_Cost+Act_RM_Cost)</f>
        <v>7476000</v>
      </c>
      <c r="H11" s="16">
        <f>SUMPRODUCT(Act_Q,Act_WF_Cost+Act_RM_Cost)</f>
        <v>7476000</v>
      </c>
    </row>
    <row r="12" spans="2:11" x14ac:dyDescent="0.35">
      <c r="B12" s="8" t="s">
        <v>29</v>
      </c>
      <c r="C12" s="17">
        <f t="shared" ref="C12:H12" si="0">C10-C11</f>
        <v>1907500</v>
      </c>
      <c r="D12" s="9">
        <f t="shared" si="0"/>
        <v>1822500</v>
      </c>
      <c r="E12" s="9">
        <f t="shared" si="0"/>
        <v>1750000</v>
      </c>
      <c r="F12" s="9">
        <f t="shared" si="0"/>
        <v>1914062.5</v>
      </c>
      <c r="G12" s="9">
        <f t="shared" si="0"/>
        <v>1464000</v>
      </c>
      <c r="H12" s="10">
        <f t="shared" si="0"/>
        <v>1485500</v>
      </c>
    </row>
    <row r="13" spans="2:11" x14ac:dyDescent="0.35">
      <c r="B13" s="7" t="s">
        <v>15</v>
      </c>
      <c r="C13" s="18">
        <f t="shared" ref="C13:H13" si="1">C12/C10</f>
        <v>0.23262195121951221</v>
      </c>
      <c r="D13" s="19">
        <f t="shared" si="1"/>
        <v>0.22225609756097561</v>
      </c>
      <c r="E13" s="19">
        <f t="shared" si="1"/>
        <v>0.21341463414634146</v>
      </c>
      <c r="F13" s="19">
        <f t="shared" si="1"/>
        <v>0.21341463414634146</v>
      </c>
      <c r="G13" s="19">
        <f t="shared" si="1"/>
        <v>0.16375838926174496</v>
      </c>
      <c r="H13" s="20">
        <f t="shared" si="1"/>
        <v>0.16576465993416281</v>
      </c>
    </row>
    <row r="16" spans="2:11" x14ac:dyDescent="0.35">
      <c r="B16" s="1" t="s">
        <v>19</v>
      </c>
      <c r="C16" s="2" t="s">
        <v>21</v>
      </c>
      <c r="D16" s="2" t="s">
        <v>20</v>
      </c>
      <c r="E16" s="2" t="s">
        <v>25</v>
      </c>
      <c r="F16" s="2" t="s">
        <v>22</v>
      </c>
      <c r="G16" s="2" t="s">
        <v>28</v>
      </c>
      <c r="H16" s="2" t="s">
        <v>23</v>
      </c>
    </row>
    <row r="17" spans="2:8" x14ac:dyDescent="0.35">
      <c r="B17" s="22">
        <f>C12</f>
        <v>1907500</v>
      </c>
      <c r="C17" s="3">
        <f>D12-C12</f>
        <v>-85000</v>
      </c>
      <c r="D17" s="3">
        <f>E12-D12</f>
        <v>-72500</v>
      </c>
      <c r="E17" s="3">
        <f>F12-E12</f>
        <v>164062.5</v>
      </c>
      <c r="F17" s="3">
        <f>G12-F12</f>
        <v>-450062.5</v>
      </c>
      <c r="G17" s="3">
        <f>H12-G12</f>
        <v>21500</v>
      </c>
      <c r="H17" s="3">
        <f>H12</f>
        <v>1485500</v>
      </c>
    </row>
    <row r="18" spans="2:8" x14ac:dyDescent="0.35">
      <c r="B18" s="23" t="s">
        <v>24</v>
      </c>
      <c r="C18" s="2">
        <f>RANK(C17,$C$17:$G$17)</f>
        <v>4</v>
      </c>
      <c r="D18" s="2">
        <f>RANK(D17,$C$17:$G$17)</f>
        <v>3</v>
      </c>
      <c r="E18" s="2">
        <f>RANK(E17,$C$17:$G$17)</f>
        <v>1</v>
      </c>
      <c r="F18" s="2">
        <f>RANK(F17,$C$17:$G$17)</f>
        <v>5</v>
      </c>
      <c r="G18" s="2">
        <f>RANK(G17,$C$17:$G$17)</f>
        <v>2</v>
      </c>
    </row>
    <row r="23" spans="2:8" x14ac:dyDescent="0.35">
      <c r="C23" s="1"/>
      <c r="D23" s="1"/>
    </row>
    <row r="24" spans="2:8" x14ac:dyDescent="0.35">
      <c r="C24" s="1"/>
      <c r="D24" s="1"/>
    </row>
    <row r="25" spans="2:8" x14ac:dyDescent="0.35">
      <c r="C25" s="1"/>
      <c r="D25" s="1"/>
    </row>
    <row r="26" spans="2:8" x14ac:dyDescent="0.35">
      <c r="C26" s="1"/>
      <c r="D26" s="1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0"/>
  <sheetViews>
    <sheetView showGridLines="0" workbookViewId="0">
      <selection activeCell="B3" sqref="B3:B9"/>
    </sheetView>
  </sheetViews>
  <sheetFormatPr defaultRowHeight="12.5" x14ac:dyDescent="0.25"/>
  <cols>
    <col min="1" max="1" width="2" style="25" bestFit="1" customWidth="1"/>
    <col min="2" max="3" width="15.7265625" customWidth="1"/>
    <col min="4" max="4" width="10.453125" bestFit="1" customWidth="1"/>
    <col min="5" max="5" width="11.26953125" customWidth="1"/>
  </cols>
  <sheetData>
    <row r="2" spans="1:10" ht="14" thickBot="1" x14ac:dyDescent="0.4">
      <c r="E2" s="33"/>
      <c r="F2" s="34" t="s">
        <v>26</v>
      </c>
      <c r="G2" s="35" t="s">
        <v>27</v>
      </c>
      <c r="H2" s="35" t="s">
        <v>33</v>
      </c>
      <c r="I2" s="35" t="s">
        <v>34</v>
      </c>
      <c r="J2" s="36" t="s">
        <v>35</v>
      </c>
    </row>
    <row r="3" spans="1:10" ht="14" thickTop="1" x14ac:dyDescent="0.35">
      <c r="A3" s="24"/>
      <c r="B3" s="26" t="s">
        <v>19</v>
      </c>
      <c r="C3" s="27">
        <f>Elaborazione!B17</f>
        <v>1907500</v>
      </c>
      <c r="E3" s="37" t="s">
        <v>19</v>
      </c>
      <c r="F3" s="38">
        <f>C3</f>
        <v>1907500</v>
      </c>
      <c r="G3" s="39"/>
      <c r="H3" s="39"/>
      <c r="I3" s="39"/>
      <c r="J3" s="40"/>
    </row>
    <row r="4" spans="1:10" ht="13.5" x14ac:dyDescent="0.35">
      <c r="A4" s="24">
        <v>1</v>
      </c>
      <c r="B4" s="23" t="str">
        <f>INDEX(Elaborazione!$C$16:$G$16,MATCH($A4,Elaborazione!$C$18:$G$18,0))</f>
        <v>Volume</v>
      </c>
      <c r="C4" s="22">
        <f>LARGE(Elaborazione!$C$17:$G$17,A4)</f>
        <v>164062.5</v>
      </c>
      <c r="E4" s="41" t="str">
        <f>B4</f>
        <v>Volume</v>
      </c>
      <c r="F4" s="42"/>
      <c r="G4" s="43">
        <f>+IF(I4&gt;0,J4-I4,J4)</f>
        <v>1907500</v>
      </c>
      <c r="H4" s="43">
        <f>IF(C4&lt;0,0,C4)</f>
        <v>164062.5</v>
      </c>
      <c r="I4" s="43">
        <f>IF(H4&lt;&gt;0,0,ABS(C4))</f>
        <v>0</v>
      </c>
      <c r="J4" s="44">
        <f>+F3</f>
        <v>1907500</v>
      </c>
    </row>
    <row r="5" spans="1:10" ht="13.5" x14ac:dyDescent="0.35">
      <c r="A5" s="24">
        <v>2</v>
      </c>
      <c r="B5" s="23" t="str">
        <f>INDEX(Elaborazione!$C$16:$G$16,MATCH($A5,Elaborazione!$C$18:$G$18,0))</f>
        <v>Price</v>
      </c>
      <c r="C5" s="22">
        <f>LARGE(Elaborazione!$C$17:$G$17,A5)</f>
        <v>21500</v>
      </c>
      <c r="E5" s="41" t="str">
        <f>B5</f>
        <v>Price</v>
      </c>
      <c r="F5" s="42"/>
      <c r="G5" s="43">
        <f>+IF(I5&gt;0,J5-I5,J5)</f>
        <v>2071562.5</v>
      </c>
      <c r="H5" s="43">
        <f>IF(C5&lt;0,0,C5)</f>
        <v>21500</v>
      </c>
      <c r="I5" s="43">
        <f>IF(H5&lt;&gt;0,0,ABS(C5))</f>
        <v>0</v>
      </c>
      <c r="J5" s="44">
        <f>+J4+H4-I4</f>
        <v>2071562.5</v>
      </c>
    </row>
    <row r="6" spans="1:10" ht="13.5" x14ac:dyDescent="0.35">
      <c r="A6" s="24">
        <v>3</v>
      </c>
      <c r="B6" s="23" t="str">
        <f>INDEX(Elaborazione!$C$16:$G$16,MATCH($A6,Elaborazione!$C$18:$G$18,0))</f>
        <v>Work Force</v>
      </c>
      <c r="C6" s="22">
        <f>LARGE(Elaborazione!$C$17:$G$17,A6)</f>
        <v>-72500</v>
      </c>
      <c r="E6" s="41" t="str">
        <f>B6</f>
        <v>Work Force</v>
      </c>
      <c r="F6" s="42"/>
      <c r="G6" s="43">
        <f>+IF(I6&gt;0,J6-I6,J6)</f>
        <v>2020562.5</v>
      </c>
      <c r="H6" s="43">
        <f>IF(C6&lt;0,0,C6)</f>
        <v>0</v>
      </c>
      <c r="I6" s="43">
        <f>IF(H6&lt;&gt;0,0,ABS(C6))</f>
        <v>72500</v>
      </c>
      <c r="J6" s="44">
        <f>+J5+H5-I5</f>
        <v>2093062.5</v>
      </c>
    </row>
    <row r="7" spans="1:10" ht="13.5" x14ac:dyDescent="0.35">
      <c r="A7" s="24">
        <v>4</v>
      </c>
      <c r="B7" s="23" t="str">
        <f>INDEX(Elaborazione!$C$16:$G$16,MATCH($A7,Elaborazione!$C$18:$G$18,0))</f>
        <v>Raw Materials</v>
      </c>
      <c r="C7" s="22">
        <f>LARGE(Elaborazione!$C$17:$G$17,A7)</f>
        <v>-85000</v>
      </c>
      <c r="E7" s="41" t="str">
        <f>B7</f>
        <v>Raw Materials</v>
      </c>
      <c r="F7" s="45"/>
      <c r="G7" s="43">
        <f>+IF(I7&gt;0,J7-I7,J7)</f>
        <v>1935562.5</v>
      </c>
      <c r="H7" s="43">
        <f>IF(C7&lt;0,0,C7)</f>
        <v>0</v>
      </c>
      <c r="I7" s="43">
        <f>IF(H7&lt;&gt;0,0,ABS(C7))</f>
        <v>85000</v>
      </c>
      <c r="J7" s="44">
        <f>+J6+H6-I6</f>
        <v>2020562.5</v>
      </c>
    </row>
    <row r="8" spans="1:10" ht="13.5" x14ac:dyDescent="0.35">
      <c r="A8" s="24">
        <v>5</v>
      </c>
      <c r="B8" s="23" t="str">
        <f>INDEX(Elaborazione!$C$16:$G$16,MATCH($A8,Elaborazione!$C$18:$G$18,0))</f>
        <v>Mix</v>
      </c>
      <c r="C8" s="22">
        <f>LARGE(Elaborazione!$C$17:$G$17,A8)</f>
        <v>-450062.5</v>
      </c>
      <c r="E8" s="41" t="str">
        <f>B8</f>
        <v>Mix</v>
      </c>
      <c r="F8" s="45"/>
      <c r="G8" s="43">
        <f>+IF(I8&gt;0,J8-I8,J8)</f>
        <v>1485500</v>
      </c>
      <c r="H8" s="43">
        <f>IF(C8&lt;0,0,C8)</f>
        <v>0</v>
      </c>
      <c r="I8" s="43">
        <f>IF(H8&lt;&gt;0,0,ABS(C8))</f>
        <v>450062.5</v>
      </c>
      <c r="J8" s="44">
        <f>+J7+H7-I7</f>
        <v>1935562.5</v>
      </c>
    </row>
    <row r="9" spans="1:10" ht="13.5" x14ac:dyDescent="0.35">
      <c r="A9" s="24"/>
      <c r="B9" s="26" t="s">
        <v>23</v>
      </c>
      <c r="C9" s="27">
        <f>SUM(C3:C8)</f>
        <v>1485500</v>
      </c>
      <c r="E9" s="46" t="s">
        <v>23</v>
      </c>
      <c r="F9" s="47">
        <f>C9</f>
        <v>1485500</v>
      </c>
      <c r="G9" s="48"/>
      <c r="H9" s="49"/>
      <c r="I9" s="49"/>
      <c r="J9" s="50"/>
    </row>
    <row r="10" spans="1:10" ht="13.5" x14ac:dyDescent="0.35">
      <c r="A10" s="24"/>
      <c r="B10" s="1"/>
      <c r="C10" s="1"/>
      <c r="D10" s="2"/>
    </row>
    <row r="14" spans="1:10" x14ac:dyDescent="0.25">
      <c r="F14" s="28"/>
    </row>
    <row r="16" spans="1:10" x14ac:dyDescent="0.25">
      <c r="F16" s="29"/>
    </row>
    <row r="17" spans="6:6" x14ac:dyDescent="0.25">
      <c r="F17" s="29"/>
    </row>
    <row r="18" spans="6:6" x14ac:dyDescent="0.25">
      <c r="F18" s="29"/>
    </row>
    <row r="19" spans="6:6" x14ac:dyDescent="0.25">
      <c r="F19" s="29"/>
    </row>
    <row r="20" spans="6:6" x14ac:dyDescent="0.25">
      <c r="F20" s="29"/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9</vt:i4>
      </vt:variant>
    </vt:vector>
  </HeadingPairs>
  <TitlesOfParts>
    <vt:vector size="11" baseType="lpstr">
      <vt:lpstr>Elaborazione</vt:lpstr>
      <vt:lpstr>Report</vt:lpstr>
      <vt:lpstr>Act_Price</vt:lpstr>
      <vt:lpstr>Act_Q</vt:lpstr>
      <vt:lpstr>Act_Q_Std_Mix</vt:lpstr>
      <vt:lpstr>Act_RM_Cost</vt:lpstr>
      <vt:lpstr>Act_WF_Cost</vt:lpstr>
      <vt:lpstr>Std_Price</vt:lpstr>
      <vt:lpstr>Std_Q</vt:lpstr>
      <vt:lpstr>Std_RM_Cost</vt:lpstr>
      <vt:lpstr>Std_WF_Cost</vt:lpstr>
    </vt:vector>
  </TitlesOfParts>
  <Company>Gilead Sciences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Gilead User</dc:creator>
  <cp:lastModifiedBy>gianclaudio</cp:lastModifiedBy>
  <dcterms:created xsi:type="dcterms:W3CDTF">2008-05-04T12:51:29Z</dcterms:created>
  <dcterms:modified xsi:type="dcterms:W3CDTF">2021-10-24T13:22:17Z</dcterms:modified>
</cp:coreProperties>
</file>