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9"/>
  <workbookPr hidePivotFieldList="1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gianclaudio\Google Drive\00 - Administrative stuff\05 - Libri e fatturazioni varie\01 - Libri\03 - CDG\v2021\Cap9\"/>
    </mc:Choice>
  </mc:AlternateContent>
  <xr:revisionPtr revIDLastSave="0" documentId="13_ncr:40009_{1FDE722B-FC6F-4423-8C5C-D697E7B3C5A4}" xr6:coauthVersionLast="36" xr6:coauthVersionMax="36" xr10:uidLastSave="{00000000-0000-0000-0000-000000000000}"/>
  <bookViews>
    <workbookView xWindow="120" yWindow="110" windowWidth="15180" windowHeight="8070" activeTab="5"/>
  </bookViews>
  <sheets>
    <sheet name="Cover" sheetId="22" r:id="rId1"/>
    <sheet name="Parametri" sheetId="14" r:id="rId2"/>
    <sheet name="Dati" sheetId="24" r:id="rId3"/>
    <sheet name="Riepilogo gestionale" sheetId="25" r:id="rId4"/>
    <sheet name="Riepilogo Fiscale" sheetId="19" r:id="rId5"/>
    <sheet name="Diagramma di flusso" sheetId="20" r:id="rId6"/>
  </sheets>
  <definedNames>
    <definedName name="_xlnm._FilterDatabase" localSheetId="2" hidden="1">Dati!$A$1:$S$65</definedName>
    <definedName name="analisi">Parametri!$B$2</definedName>
    <definedName name="gganno">Parametri!$C$5</definedName>
    <definedName name="ggytd">Parametri!$C$4</definedName>
    <definedName name="inizio">Parametri!$A$2</definedName>
    <definedName name="metodo">Parametri!$C$7</definedName>
  </definedNames>
  <calcPr calcId="191029"/>
</workbook>
</file>

<file path=xl/calcChain.xml><?xml version="1.0" encoding="utf-8"?>
<calcChain xmlns="http://schemas.openxmlformats.org/spreadsheetml/2006/main">
  <c r="H22" i="19" l="1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2" i="19"/>
  <c r="E15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48" i="25"/>
  <c r="G47" i="25"/>
  <c r="G46" i="25"/>
  <c r="G45" i="25"/>
  <c r="G44" i="25"/>
  <c r="G93" i="25" s="1"/>
  <c r="G43" i="25"/>
  <c r="G42" i="25"/>
  <c r="G41" i="25"/>
  <c r="G40" i="25"/>
  <c r="G39" i="25"/>
  <c r="G38" i="25"/>
  <c r="G37" i="25"/>
  <c r="G36" i="25"/>
  <c r="G85" i="25" s="1"/>
  <c r="G35" i="25"/>
  <c r="G34" i="25"/>
  <c r="G33" i="25"/>
  <c r="G32" i="25"/>
  <c r="G31" i="25"/>
  <c r="G30" i="25"/>
  <c r="G29" i="25"/>
  <c r="G23" i="25"/>
  <c r="G97" i="25" s="1"/>
  <c r="G22" i="25"/>
  <c r="G21" i="25"/>
  <c r="G95" i="25" s="1"/>
  <c r="G20" i="25"/>
  <c r="G19" i="25"/>
  <c r="G18" i="25"/>
  <c r="G17" i="25"/>
  <c r="G16" i="25"/>
  <c r="G15" i="25"/>
  <c r="G89" i="25" s="1"/>
  <c r="G14" i="25"/>
  <c r="G13" i="25"/>
  <c r="G87" i="25" s="1"/>
  <c r="G12" i="25"/>
  <c r="G11" i="25"/>
  <c r="G10" i="25"/>
  <c r="G9" i="25"/>
  <c r="G8" i="25"/>
  <c r="G7" i="25"/>
  <c r="G81" i="25" s="1"/>
  <c r="G6" i="25"/>
  <c r="G5" i="25"/>
  <c r="G79" i="25" s="1"/>
  <c r="G4" i="25"/>
  <c r="S65" i="24"/>
  <c r="S64" i="24"/>
  <c r="S63" i="24"/>
  <c r="S62" i="24"/>
  <c r="S61" i="24"/>
  <c r="S60" i="24"/>
  <c r="S59" i="24"/>
  <c r="S58" i="24"/>
  <c r="S57" i="24"/>
  <c r="S56" i="24"/>
  <c r="S55" i="24"/>
  <c r="S54" i="24"/>
  <c r="S53" i="24"/>
  <c r="S52" i="24"/>
  <c r="S51" i="24"/>
  <c r="S50" i="24"/>
  <c r="S49" i="24"/>
  <c r="S48" i="24"/>
  <c r="S47" i="24"/>
  <c r="S46" i="24"/>
  <c r="S45" i="24"/>
  <c r="S44" i="24"/>
  <c r="S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S7" i="24"/>
  <c r="S6" i="24"/>
  <c r="S5" i="24"/>
  <c r="E4" i="19" s="1"/>
  <c r="S4" i="24"/>
  <c r="S3" i="24"/>
  <c r="S2" i="24"/>
  <c r="F5" i="19" s="1"/>
  <c r="G96" i="25"/>
  <c r="G94" i="25"/>
  <c r="G92" i="25"/>
  <c r="G91" i="25"/>
  <c r="G90" i="25"/>
  <c r="G88" i="25"/>
  <c r="G86" i="25"/>
  <c r="G84" i="25"/>
  <c r="G83" i="25"/>
  <c r="G82" i="25"/>
  <c r="G80" i="25"/>
  <c r="G78" i="25"/>
  <c r="L64" i="24"/>
  <c r="K64" i="24"/>
  <c r="J64" i="24"/>
  <c r="I64" i="24"/>
  <c r="L63" i="24"/>
  <c r="K63" i="24"/>
  <c r="J63" i="24"/>
  <c r="I63" i="24"/>
  <c r="L62" i="24"/>
  <c r="K62" i="24"/>
  <c r="J62" i="24"/>
  <c r="I62" i="24"/>
  <c r="L61" i="24"/>
  <c r="K61" i="24"/>
  <c r="J61" i="24"/>
  <c r="I61" i="24"/>
  <c r="L60" i="24"/>
  <c r="K60" i="24"/>
  <c r="J60" i="24"/>
  <c r="I60" i="24"/>
  <c r="L59" i="24"/>
  <c r="K59" i="24"/>
  <c r="J59" i="24"/>
  <c r="I59" i="24"/>
  <c r="L58" i="24"/>
  <c r="K58" i="24"/>
  <c r="J58" i="24"/>
  <c r="I58" i="24"/>
  <c r="L56" i="24"/>
  <c r="K56" i="24"/>
  <c r="J56" i="24"/>
  <c r="I56" i="24"/>
  <c r="L55" i="24"/>
  <c r="K55" i="24"/>
  <c r="J55" i="24"/>
  <c r="I55" i="24"/>
  <c r="L54" i="24"/>
  <c r="K54" i="24"/>
  <c r="J54" i="24"/>
  <c r="I54" i="24"/>
  <c r="L53" i="24"/>
  <c r="K53" i="24"/>
  <c r="J53" i="24"/>
  <c r="I53" i="24"/>
  <c r="L52" i="24"/>
  <c r="K52" i="24"/>
  <c r="J52" i="24"/>
  <c r="I52" i="24"/>
  <c r="L51" i="24"/>
  <c r="K51" i="24"/>
  <c r="J51" i="24"/>
  <c r="I51" i="24"/>
  <c r="L50" i="24"/>
  <c r="K50" i="24"/>
  <c r="J50" i="24"/>
  <c r="I50" i="24"/>
  <c r="L49" i="24"/>
  <c r="K49" i="24"/>
  <c r="J49" i="24"/>
  <c r="I49" i="24"/>
  <c r="L48" i="24"/>
  <c r="K48" i="24"/>
  <c r="J48" i="24"/>
  <c r="I48" i="24"/>
  <c r="L47" i="24"/>
  <c r="K47" i="24"/>
  <c r="J47" i="24"/>
  <c r="I47" i="24"/>
  <c r="L46" i="24"/>
  <c r="K46" i="24"/>
  <c r="J46" i="24"/>
  <c r="I46" i="24"/>
  <c r="L45" i="24"/>
  <c r="K45" i="24"/>
  <c r="J45" i="24"/>
  <c r="I45" i="24"/>
  <c r="L44" i="24"/>
  <c r="K44" i="24"/>
  <c r="J44" i="24"/>
  <c r="I44" i="24"/>
  <c r="L43" i="24"/>
  <c r="K43" i="24"/>
  <c r="J43" i="24"/>
  <c r="I43" i="24"/>
  <c r="L42" i="24"/>
  <c r="K42" i="24"/>
  <c r="J42" i="24"/>
  <c r="I42" i="24"/>
  <c r="L41" i="24"/>
  <c r="K41" i="24"/>
  <c r="J41" i="24"/>
  <c r="I41" i="24"/>
  <c r="L40" i="24"/>
  <c r="K40" i="24"/>
  <c r="J40" i="24"/>
  <c r="I40" i="24"/>
  <c r="L39" i="24"/>
  <c r="K39" i="24"/>
  <c r="J39" i="24"/>
  <c r="I39" i="24"/>
  <c r="L38" i="24"/>
  <c r="K38" i="24"/>
  <c r="J38" i="24"/>
  <c r="I38" i="24"/>
  <c r="L37" i="24"/>
  <c r="K37" i="24"/>
  <c r="J37" i="24"/>
  <c r="I37" i="24"/>
  <c r="L36" i="24"/>
  <c r="K36" i="24"/>
  <c r="J36" i="24"/>
  <c r="I36" i="24"/>
  <c r="L35" i="24"/>
  <c r="K35" i="24"/>
  <c r="J35" i="24"/>
  <c r="I35" i="24"/>
  <c r="L34" i="24"/>
  <c r="K34" i="24"/>
  <c r="J34" i="24"/>
  <c r="I34" i="24"/>
  <c r="L33" i="24"/>
  <c r="K33" i="24"/>
  <c r="J33" i="24"/>
  <c r="I33" i="24"/>
  <c r="L32" i="24"/>
  <c r="K32" i="24"/>
  <c r="J32" i="24"/>
  <c r="I32" i="24"/>
  <c r="L31" i="24"/>
  <c r="K31" i="24"/>
  <c r="J31" i="24"/>
  <c r="I31" i="24"/>
  <c r="L30" i="24"/>
  <c r="K30" i="24"/>
  <c r="J30" i="24"/>
  <c r="I30" i="24"/>
  <c r="L29" i="24"/>
  <c r="K29" i="24"/>
  <c r="J29" i="24"/>
  <c r="I29" i="24"/>
  <c r="L28" i="24"/>
  <c r="K28" i="24"/>
  <c r="J28" i="24"/>
  <c r="I28" i="24"/>
  <c r="L27" i="24"/>
  <c r="K27" i="24"/>
  <c r="J27" i="24"/>
  <c r="I27" i="24"/>
  <c r="L26" i="24"/>
  <c r="K26" i="24"/>
  <c r="J26" i="24"/>
  <c r="I26" i="24"/>
  <c r="L25" i="24"/>
  <c r="K25" i="24"/>
  <c r="J25" i="24"/>
  <c r="I25" i="24"/>
  <c r="L24" i="24"/>
  <c r="K24" i="24"/>
  <c r="J24" i="24"/>
  <c r="I24" i="24"/>
  <c r="L23" i="24"/>
  <c r="K23" i="24"/>
  <c r="J23" i="24"/>
  <c r="I23" i="24"/>
  <c r="L22" i="24"/>
  <c r="K22" i="24"/>
  <c r="J22" i="24"/>
  <c r="I22" i="24"/>
  <c r="L21" i="24"/>
  <c r="K21" i="24"/>
  <c r="J21" i="24"/>
  <c r="I21" i="24"/>
  <c r="L20" i="24"/>
  <c r="K20" i="24"/>
  <c r="J20" i="24"/>
  <c r="I20" i="24"/>
  <c r="L19" i="24"/>
  <c r="K19" i="24"/>
  <c r="J19" i="24"/>
  <c r="I19" i="24"/>
  <c r="L18" i="24"/>
  <c r="K18" i="24"/>
  <c r="J18" i="24"/>
  <c r="I18" i="24"/>
  <c r="L17" i="24"/>
  <c r="K17" i="24"/>
  <c r="J17" i="24"/>
  <c r="I17" i="24"/>
  <c r="L16" i="24"/>
  <c r="K16" i="24"/>
  <c r="J16" i="24"/>
  <c r="I16" i="24"/>
  <c r="L15" i="24"/>
  <c r="K15" i="24"/>
  <c r="J15" i="24"/>
  <c r="I15" i="24"/>
  <c r="L14" i="24"/>
  <c r="K14" i="24"/>
  <c r="J14" i="24"/>
  <c r="I14" i="24"/>
  <c r="L13" i="24"/>
  <c r="K13" i="24"/>
  <c r="J13" i="24"/>
  <c r="I13" i="24"/>
  <c r="L12" i="24"/>
  <c r="K12" i="24"/>
  <c r="J12" i="24"/>
  <c r="I12" i="24"/>
  <c r="L11" i="24"/>
  <c r="K11" i="24"/>
  <c r="J11" i="24"/>
  <c r="I11" i="24"/>
  <c r="L10" i="24"/>
  <c r="K10" i="24"/>
  <c r="J10" i="24"/>
  <c r="I10" i="24"/>
  <c r="L9" i="24"/>
  <c r="K9" i="24"/>
  <c r="J9" i="24"/>
  <c r="I9" i="24"/>
  <c r="L8" i="24"/>
  <c r="K8" i="24"/>
  <c r="J8" i="24"/>
  <c r="I8" i="24"/>
  <c r="L7" i="24"/>
  <c r="K7" i="24"/>
  <c r="J7" i="24"/>
  <c r="I7" i="24"/>
  <c r="L6" i="24"/>
  <c r="K6" i="24"/>
  <c r="J6" i="24"/>
  <c r="I6" i="24"/>
  <c r="L5" i="24"/>
  <c r="K5" i="24"/>
  <c r="J5" i="24"/>
  <c r="I5" i="24"/>
  <c r="L4" i="24"/>
  <c r="K4" i="24"/>
  <c r="J4" i="24"/>
  <c r="I4" i="24"/>
  <c r="L3" i="24"/>
  <c r="K3" i="24"/>
  <c r="J3" i="24"/>
  <c r="I3" i="24"/>
  <c r="L2" i="24"/>
  <c r="K2" i="24"/>
  <c r="J2" i="24"/>
  <c r="I2" i="24"/>
  <c r="C5" i="14"/>
  <c r="I19" i="14" s="1"/>
  <c r="M25" i="24" s="1"/>
  <c r="O25" i="24" s="1"/>
  <c r="Q25" i="24" s="1"/>
  <c r="C4" i="14"/>
  <c r="E2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D69" i="25" l="1"/>
  <c r="E65" i="25"/>
  <c r="F64" i="25"/>
  <c r="H37" i="25"/>
  <c r="F9" i="19"/>
  <c r="D12" i="25"/>
  <c r="D20" i="25"/>
  <c r="D33" i="25"/>
  <c r="D41" i="25"/>
  <c r="D54" i="25"/>
  <c r="D62" i="25"/>
  <c r="D70" i="25"/>
  <c r="E8" i="25"/>
  <c r="E16" i="25"/>
  <c r="E29" i="25"/>
  <c r="E37" i="25"/>
  <c r="E45" i="25"/>
  <c r="E58" i="25"/>
  <c r="E66" i="25"/>
  <c r="F7" i="25"/>
  <c r="F15" i="25"/>
  <c r="F23" i="25"/>
  <c r="F36" i="25"/>
  <c r="F44" i="25"/>
  <c r="F57" i="25"/>
  <c r="F65" i="25"/>
  <c r="F73" i="25"/>
  <c r="H14" i="25"/>
  <c r="H23" i="25"/>
  <c r="I19" i="25"/>
  <c r="H32" i="25"/>
  <c r="I37" i="25"/>
  <c r="H42" i="25"/>
  <c r="H54" i="25"/>
  <c r="H61" i="25"/>
  <c r="I67" i="25"/>
  <c r="H72" i="25"/>
  <c r="D2" i="19"/>
  <c r="D10" i="19"/>
  <c r="D18" i="19"/>
  <c r="E5" i="19"/>
  <c r="E13" i="19"/>
  <c r="E21" i="19"/>
  <c r="F16" i="19"/>
  <c r="F8" i="19"/>
  <c r="D48" i="25"/>
  <c r="E36" i="25"/>
  <c r="F35" i="25"/>
  <c r="F49" i="25" s="1"/>
  <c r="I31" i="25"/>
  <c r="E20" i="19"/>
  <c r="G49" i="25"/>
  <c r="D5" i="25"/>
  <c r="D13" i="25"/>
  <c r="D21" i="25"/>
  <c r="D34" i="25"/>
  <c r="D42" i="25"/>
  <c r="D55" i="25"/>
  <c r="D63" i="25"/>
  <c r="D71" i="25"/>
  <c r="E9" i="25"/>
  <c r="E17" i="25"/>
  <c r="E30" i="25"/>
  <c r="E38" i="25"/>
  <c r="E46" i="25"/>
  <c r="E59" i="25"/>
  <c r="E67" i="25"/>
  <c r="F8" i="25"/>
  <c r="F16" i="25"/>
  <c r="F29" i="25"/>
  <c r="F37" i="25"/>
  <c r="F45" i="25"/>
  <c r="F58" i="25"/>
  <c r="F66" i="25"/>
  <c r="H5" i="25"/>
  <c r="H15" i="25"/>
  <c r="I5" i="25"/>
  <c r="I20" i="25"/>
  <c r="I32" i="25"/>
  <c r="H38" i="25"/>
  <c r="H43" i="25"/>
  <c r="I54" i="25"/>
  <c r="H62" i="25"/>
  <c r="H68" i="25"/>
  <c r="H73" i="25"/>
  <c r="D3" i="19"/>
  <c r="D11" i="19"/>
  <c r="D19" i="19"/>
  <c r="E6" i="19"/>
  <c r="E14" i="19"/>
  <c r="E22" i="19"/>
  <c r="F15" i="19"/>
  <c r="F7" i="19"/>
  <c r="D19" i="25"/>
  <c r="E7" i="25"/>
  <c r="E73" i="25"/>
  <c r="F56" i="25"/>
  <c r="I41" i="25"/>
  <c r="F17" i="19"/>
  <c r="D6" i="25"/>
  <c r="D14" i="25"/>
  <c r="D22" i="25"/>
  <c r="D35" i="25"/>
  <c r="D43" i="25"/>
  <c r="D56" i="25"/>
  <c r="D64" i="25"/>
  <c r="D72" i="25"/>
  <c r="E10" i="25"/>
  <c r="E18" i="25"/>
  <c r="E31" i="25"/>
  <c r="E39" i="25"/>
  <c r="E47" i="25"/>
  <c r="E60" i="25"/>
  <c r="E68" i="25"/>
  <c r="F9" i="25"/>
  <c r="F17" i="25"/>
  <c r="F30" i="25"/>
  <c r="F38" i="25"/>
  <c r="F46" i="25"/>
  <c r="F59" i="25"/>
  <c r="F67" i="25"/>
  <c r="H6" i="25"/>
  <c r="H16" i="25"/>
  <c r="I7" i="25"/>
  <c r="I23" i="25"/>
  <c r="H33" i="25"/>
  <c r="H39" i="25"/>
  <c r="H44" i="25"/>
  <c r="H55" i="25"/>
  <c r="H63" i="25"/>
  <c r="I68" i="25"/>
  <c r="D4" i="19"/>
  <c r="D12" i="19"/>
  <c r="D20" i="19"/>
  <c r="E7" i="19"/>
  <c r="E15" i="19"/>
  <c r="F22" i="19"/>
  <c r="F14" i="19"/>
  <c r="F6" i="19"/>
  <c r="D11" i="25"/>
  <c r="D61" i="25"/>
  <c r="E57" i="25"/>
  <c r="F22" i="25"/>
  <c r="H22" i="25"/>
  <c r="I71" i="25"/>
  <c r="E12" i="19"/>
  <c r="D7" i="25"/>
  <c r="D15" i="25"/>
  <c r="D23" i="25"/>
  <c r="D97" i="25" s="1"/>
  <c r="D36" i="25"/>
  <c r="D44" i="25"/>
  <c r="D57" i="25"/>
  <c r="D65" i="25"/>
  <c r="D73" i="25"/>
  <c r="E11" i="25"/>
  <c r="E19" i="25"/>
  <c r="E32" i="25"/>
  <c r="E40" i="25"/>
  <c r="E48" i="25"/>
  <c r="E61" i="25"/>
  <c r="E69" i="25"/>
  <c r="F10" i="25"/>
  <c r="F18" i="25"/>
  <c r="F31" i="25"/>
  <c r="F39" i="25"/>
  <c r="F47" i="25"/>
  <c r="F60" i="25"/>
  <c r="F68" i="25"/>
  <c r="H7" i="25"/>
  <c r="H17" i="25"/>
  <c r="I12" i="25"/>
  <c r="H29" i="25"/>
  <c r="I33" i="25"/>
  <c r="I39" i="25"/>
  <c r="H45" i="25"/>
  <c r="H56" i="25"/>
  <c r="I63" i="25"/>
  <c r="H69" i="25"/>
  <c r="D5" i="19"/>
  <c r="D13" i="19"/>
  <c r="D21" i="19"/>
  <c r="E8" i="19"/>
  <c r="E16" i="19"/>
  <c r="F21" i="19"/>
  <c r="F13" i="19"/>
  <c r="D32" i="25"/>
  <c r="E23" i="25"/>
  <c r="F6" i="25"/>
  <c r="H13" i="25"/>
  <c r="I60" i="25"/>
  <c r="D9" i="19"/>
  <c r="D4" i="25"/>
  <c r="D8" i="25"/>
  <c r="D82" i="25" s="1"/>
  <c r="D16" i="25"/>
  <c r="D29" i="25"/>
  <c r="D37" i="25"/>
  <c r="D86" i="25" s="1"/>
  <c r="D45" i="25"/>
  <c r="D94" i="25" s="1"/>
  <c r="D58" i="25"/>
  <c r="D66" i="25"/>
  <c r="E4" i="25"/>
  <c r="E12" i="25"/>
  <c r="E20" i="25"/>
  <c r="E33" i="25"/>
  <c r="E41" i="25"/>
  <c r="E54" i="25"/>
  <c r="E62" i="25"/>
  <c r="E70" i="25"/>
  <c r="F11" i="25"/>
  <c r="F19" i="25"/>
  <c r="F93" i="25" s="1"/>
  <c r="F32" i="25"/>
  <c r="F40" i="25"/>
  <c r="F48" i="25"/>
  <c r="F61" i="25"/>
  <c r="F69" i="25"/>
  <c r="H9" i="25"/>
  <c r="H18" i="25"/>
  <c r="I14" i="25"/>
  <c r="H30" i="25"/>
  <c r="H34" i="25"/>
  <c r="H40" i="25"/>
  <c r="H46" i="25"/>
  <c r="H57" i="25"/>
  <c r="H64" i="25"/>
  <c r="H70" i="25"/>
  <c r="D6" i="19"/>
  <c r="D14" i="19"/>
  <c r="D22" i="19"/>
  <c r="E9" i="19"/>
  <c r="E17" i="19"/>
  <c r="F20" i="19"/>
  <c r="F12" i="19"/>
  <c r="F4" i="19"/>
  <c r="F14" i="25"/>
  <c r="F88" i="25" s="1"/>
  <c r="F72" i="25"/>
  <c r="I48" i="25"/>
  <c r="D17" i="19"/>
  <c r="D9" i="25"/>
  <c r="D17" i="25"/>
  <c r="D30" i="25"/>
  <c r="D38" i="25"/>
  <c r="D46" i="25"/>
  <c r="D59" i="25"/>
  <c r="D67" i="25"/>
  <c r="E5" i="25"/>
  <c r="E13" i="25"/>
  <c r="E21" i="25"/>
  <c r="E34" i="25"/>
  <c r="E42" i="25"/>
  <c r="E55" i="25"/>
  <c r="E63" i="25"/>
  <c r="E71" i="25"/>
  <c r="F4" i="25"/>
  <c r="F12" i="25"/>
  <c r="F20" i="25"/>
  <c r="F33" i="25"/>
  <c r="F41" i="25"/>
  <c r="F54" i="25"/>
  <c r="F62" i="25"/>
  <c r="F70" i="25"/>
  <c r="H10" i="25"/>
  <c r="H19" i="25"/>
  <c r="I16" i="25"/>
  <c r="I30" i="25"/>
  <c r="H35" i="25"/>
  <c r="I40" i="25"/>
  <c r="H47" i="25"/>
  <c r="H58" i="25"/>
  <c r="H65" i="25"/>
  <c r="I70" i="25"/>
  <c r="D7" i="19"/>
  <c r="D15" i="19"/>
  <c r="E2" i="19"/>
  <c r="E10" i="19"/>
  <c r="E18" i="19"/>
  <c r="F19" i="19"/>
  <c r="F11" i="19"/>
  <c r="F3" i="19"/>
  <c r="D40" i="25"/>
  <c r="E44" i="25"/>
  <c r="F43" i="25"/>
  <c r="I18" i="25"/>
  <c r="H67" i="25"/>
  <c r="D10" i="25"/>
  <c r="D18" i="25"/>
  <c r="D31" i="25"/>
  <c r="D39" i="25"/>
  <c r="D47" i="25"/>
  <c r="D60" i="25"/>
  <c r="D68" i="25"/>
  <c r="E6" i="25"/>
  <c r="E14" i="25"/>
  <c r="E22" i="25"/>
  <c r="E35" i="25"/>
  <c r="E43" i="25"/>
  <c r="E56" i="25"/>
  <c r="E64" i="25"/>
  <c r="E72" i="25"/>
  <c r="F5" i="25"/>
  <c r="F13" i="25"/>
  <c r="F87" i="25" s="1"/>
  <c r="F21" i="25"/>
  <c r="F34" i="25"/>
  <c r="F42" i="25"/>
  <c r="F55" i="25"/>
  <c r="F63" i="25"/>
  <c r="F71" i="25"/>
  <c r="H11" i="25"/>
  <c r="H20" i="25"/>
  <c r="I17" i="25"/>
  <c r="H31" i="25"/>
  <c r="H36" i="25"/>
  <c r="H41" i="25"/>
  <c r="H48" i="25"/>
  <c r="H60" i="25"/>
  <c r="H66" i="25"/>
  <c r="H71" i="25"/>
  <c r="D8" i="19"/>
  <c r="D16" i="19"/>
  <c r="E3" i="19"/>
  <c r="E11" i="19"/>
  <c r="E19" i="19"/>
  <c r="F18" i="19"/>
  <c r="F10" i="19"/>
  <c r="F2" i="19"/>
  <c r="G98" i="25"/>
  <c r="G74" i="25"/>
  <c r="K3" i="14"/>
  <c r="G24" i="25"/>
  <c r="M63" i="24"/>
  <c r="O63" i="24" s="1"/>
  <c r="M42" i="24"/>
  <c r="O42" i="24" s="1"/>
  <c r="Q42" i="24" s="1"/>
  <c r="M7" i="24"/>
  <c r="O7" i="24" s="1"/>
  <c r="M52" i="24"/>
  <c r="O52" i="24" s="1"/>
  <c r="N55" i="24"/>
  <c r="P55" i="24" s="1"/>
  <c r="R55" i="24" s="1"/>
  <c r="I2" i="14"/>
  <c r="N33" i="24"/>
  <c r="P33" i="24" s="1"/>
  <c r="G23" i="19"/>
  <c r="I10" i="14"/>
  <c r="K17" i="14"/>
  <c r="I6" i="14"/>
  <c r="I16" i="14"/>
  <c r="K5" i="14"/>
  <c r="K20" i="14"/>
  <c r="I14" i="14"/>
  <c r="I4" i="14"/>
  <c r="I20" i="14"/>
  <c r="K13" i="14"/>
  <c r="I12" i="14"/>
  <c r="K7" i="14"/>
  <c r="K9" i="14"/>
  <c r="I8" i="14"/>
  <c r="I21" i="14"/>
  <c r="K18" i="14"/>
  <c r="I15" i="14"/>
  <c r="I11" i="14"/>
  <c r="I7" i="14"/>
  <c r="I3" i="14"/>
  <c r="I18" i="14"/>
  <c r="K14" i="14"/>
  <c r="K10" i="14"/>
  <c r="K6" i="14"/>
  <c r="K2" i="14"/>
  <c r="I17" i="14"/>
  <c r="I13" i="14"/>
  <c r="I9" i="14"/>
  <c r="I5" i="14"/>
  <c r="K19" i="14"/>
  <c r="K16" i="14"/>
  <c r="K12" i="14"/>
  <c r="K8" i="14"/>
  <c r="K4" i="14"/>
  <c r="K21" i="14"/>
  <c r="K15" i="14"/>
  <c r="K11" i="14"/>
  <c r="F85" i="25" l="1"/>
  <c r="E24" i="25"/>
  <c r="D78" i="25"/>
  <c r="D92" i="25"/>
  <c r="F94" i="25"/>
  <c r="E49" i="25"/>
  <c r="F74" i="25"/>
  <c r="F96" i="25"/>
  <c r="D84" i="25"/>
  <c r="F86" i="25"/>
  <c r="D95" i="25"/>
  <c r="F97" i="25"/>
  <c r="D91" i="25"/>
  <c r="D96" i="25"/>
  <c r="D93" i="25"/>
  <c r="F78" i="25"/>
  <c r="D87" i="25"/>
  <c r="F89" i="25"/>
  <c r="D83" i="25"/>
  <c r="D88" i="25"/>
  <c r="F90" i="25"/>
  <c r="D79" i="25"/>
  <c r="F81" i="25"/>
  <c r="F95" i="25"/>
  <c r="F80" i="25"/>
  <c r="D89" i="25"/>
  <c r="D85" i="25"/>
  <c r="F91" i="25"/>
  <c r="D80" i="25"/>
  <c r="F82" i="25"/>
  <c r="F92" i="25"/>
  <c r="D81" i="25"/>
  <c r="F83" i="25"/>
  <c r="E74" i="25"/>
  <c r="F24" i="25"/>
  <c r="F79" i="25"/>
  <c r="D90" i="25"/>
  <c r="F84" i="25"/>
  <c r="R33" i="24"/>
  <c r="H3" i="19"/>
  <c r="I3" i="19" s="1"/>
  <c r="Q52" i="24"/>
  <c r="I46" i="25"/>
  <c r="Q7" i="24"/>
  <c r="I21" i="25"/>
  <c r="Q63" i="24"/>
  <c r="H21" i="25"/>
  <c r="E84" i="25"/>
  <c r="J40" i="25"/>
  <c r="K31" i="25"/>
  <c r="J31" i="25"/>
  <c r="K63" i="25"/>
  <c r="J33" i="25"/>
  <c r="E80" i="25"/>
  <c r="J48" i="25"/>
  <c r="K40" i="25"/>
  <c r="J39" i="25"/>
  <c r="H90" i="25"/>
  <c r="K60" i="25"/>
  <c r="J63" i="25"/>
  <c r="J71" i="25"/>
  <c r="E91" i="25"/>
  <c r="J32" i="25"/>
  <c r="J18" i="25"/>
  <c r="E92" i="25"/>
  <c r="E88" i="25"/>
  <c r="K48" i="25"/>
  <c r="J17" i="25"/>
  <c r="H91" i="25"/>
  <c r="K68" i="25"/>
  <c r="E93" i="25"/>
  <c r="H81" i="25"/>
  <c r="H92" i="25"/>
  <c r="E87" i="25"/>
  <c r="N28" i="24"/>
  <c r="P28" i="24" s="1"/>
  <c r="R28" i="24" s="1"/>
  <c r="N39" i="24"/>
  <c r="P39" i="24" s="1"/>
  <c r="R39" i="24" s="1"/>
  <c r="N21" i="24"/>
  <c r="P21" i="24" s="1"/>
  <c r="R21" i="24" s="1"/>
  <c r="N14" i="24"/>
  <c r="P14" i="24" s="1"/>
  <c r="M36" i="24"/>
  <c r="O36" i="24" s="1"/>
  <c r="M20" i="24"/>
  <c r="O20" i="24" s="1"/>
  <c r="M48" i="24"/>
  <c r="O48" i="24" s="1"/>
  <c r="N50" i="24"/>
  <c r="P50" i="24" s="1"/>
  <c r="M19" i="24"/>
  <c r="O19" i="24" s="1"/>
  <c r="Q19" i="24" s="1"/>
  <c r="M17" i="24"/>
  <c r="O17" i="24" s="1"/>
  <c r="Q17" i="24" s="1"/>
  <c r="M11" i="24"/>
  <c r="O11" i="24" s="1"/>
  <c r="M2" i="24"/>
  <c r="O2" i="24" s="1"/>
  <c r="M30" i="24"/>
  <c r="O30" i="24" s="1"/>
  <c r="M58" i="24"/>
  <c r="O58" i="24" s="1"/>
  <c r="Q58" i="24" s="1"/>
  <c r="N49" i="24"/>
  <c r="P49" i="24" s="1"/>
  <c r="R49" i="24" s="1"/>
  <c r="N38" i="24"/>
  <c r="P38" i="24" s="1"/>
  <c r="R38" i="24" s="1"/>
  <c r="N18" i="24"/>
  <c r="P18" i="24" s="1"/>
  <c r="N45" i="24"/>
  <c r="P45" i="24" s="1"/>
  <c r="R45" i="24" s="1"/>
  <c r="N37" i="24"/>
  <c r="P37" i="24" s="1"/>
  <c r="R37" i="24" s="1"/>
  <c r="N40" i="24"/>
  <c r="P40" i="24" s="1"/>
  <c r="R40" i="24" s="1"/>
  <c r="N24" i="24"/>
  <c r="P24" i="24" s="1"/>
  <c r="R24" i="24" s="1"/>
  <c r="N61" i="24"/>
  <c r="P61" i="24" s="1"/>
  <c r="R61" i="24" s="1"/>
  <c r="N35" i="24"/>
  <c r="P35" i="24" s="1"/>
  <c r="R35" i="24" s="1"/>
  <c r="N34" i="24"/>
  <c r="P34" i="24" s="1"/>
  <c r="R34" i="24" s="1"/>
  <c r="N8" i="24"/>
  <c r="P8" i="24" s="1"/>
  <c r="M62" i="24"/>
  <c r="O62" i="24" s="1"/>
  <c r="M23" i="24"/>
  <c r="O23" i="24" s="1"/>
  <c r="M53" i="24"/>
  <c r="O53" i="24" s="1"/>
  <c r="Q53" i="24" s="1"/>
  <c r="M50" i="24"/>
  <c r="O50" i="24" s="1"/>
  <c r="M12" i="24"/>
  <c r="O12" i="24" s="1"/>
  <c r="M54" i="24"/>
  <c r="O54" i="24" s="1"/>
  <c r="Q54" i="24" s="1"/>
  <c r="M60" i="24"/>
  <c r="O60" i="24" s="1"/>
  <c r="M26" i="24"/>
  <c r="O26" i="24" s="1"/>
  <c r="M13" i="24"/>
  <c r="O13" i="24" s="1"/>
  <c r="N22" i="24"/>
  <c r="P22" i="24" s="1"/>
  <c r="N56" i="24"/>
  <c r="P56" i="24" s="1"/>
  <c r="R56" i="24" s="1"/>
  <c r="N9" i="24"/>
  <c r="P9" i="24" s="1"/>
  <c r="N27" i="24"/>
  <c r="P27" i="24" s="1"/>
  <c r="R27" i="24" s="1"/>
  <c r="N60" i="24"/>
  <c r="P60" i="24" s="1"/>
  <c r="R60" i="24" s="1"/>
  <c r="N26" i="24"/>
  <c r="P26" i="24" s="1"/>
  <c r="R26" i="24" s="1"/>
  <c r="N13" i="24"/>
  <c r="P13" i="24" s="1"/>
  <c r="N54" i="24"/>
  <c r="P54" i="24" s="1"/>
  <c r="R54" i="24" s="1"/>
  <c r="M46" i="24"/>
  <c r="O46" i="24" s="1"/>
  <c r="M59" i="24"/>
  <c r="O59" i="24" s="1"/>
  <c r="Q59" i="24" s="1"/>
  <c r="M31" i="24"/>
  <c r="O31" i="24" s="1"/>
  <c r="M47" i="24"/>
  <c r="O47" i="24" s="1"/>
  <c r="Q47" i="24" s="1"/>
  <c r="M10" i="24"/>
  <c r="O10" i="24" s="1"/>
  <c r="Q10" i="24" s="1"/>
  <c r="M5" i="24"/>
  <c r="O5" i="24" s="1"/>
  <c r="N12" i="24"/>
  <c r="P12" i="24" s="1"/>
  <c r="N36" i="24"/>
  <c r="P36" i="24" s="1"/>
  <c r="R36" i="24" s="1"/>
  <c r="N20" i="24"/>
  <c r="P20" i="24" s="1"/>
  <c r="N48" i="24"/>
  <c r="P48" i="24" s="1"/>
  <c r="R48" i="24" s="1"/>
  <c r="M64" i="24"/>
  <c r="O64" i="24" s="1"/>
  <c r="M6" i="24"/>
  <c r="O6" i="24" s="1"/>
  <c r="M15" i="24"/>
  <c r="O15" i="24" s="1"/>
  <c r="N25" i="24"/>
  <c r="P25" i="24" s="1"/>
  <c r="R25" i="24" s="1"/>
  <c r="N52" i="24"/>
  <c r="P52" i="24" s="1"/>
  <c r="R52" i="24" s="1"/>
  <c r="N7" i="24"/>
  <c r="P7" i="24" s="1"/>
  <c r="N42" i="24"/>
  <c r="P42" i="24" s="1"/>
  <c r="R42" i="24" s="1"/>
  <c r="N63" i="24"/>
  <c r="P63" i="24" s="1"/>
  <c r="R63" i="24" s="1"/>
  <c r="N15" i="24"/>
  <c r="P15" i="24" s="1"/>
  <c r="R15" i="24" s="1"/>
  <c r="N64" i="24"/>
  <c r="P64" i="24" s="1"/>
  <c r="R64" i="24" s="1"/>
  <c r="N6" i="24"/>
  <c r="P6" i="24" s="1"/>
  <c r="M33" i="24"/>
  <c r="O33" i="24" s="1"/>
  <c r="M55" i="24"/>
  <c r="O55" i="24" s="1"/>
  <c r="Q55" i="24" s="1"/>
  <c r="N41" i="24"/>
  <c r="P41" i="24" s="1"/>
  <c r="R41" i="24" s="1"/>
  <c r="N4" i="24"/>
  <c r="P4" i="24" s="1"/>
  <c r="N51" i="24"/>
  <c r="P51" i="24" s="1"/>
  <c r="R51" i="24" s="1"/>
  <c r="N43" i="24"/>
  <c r="P43" i="24" s="1"/>
  <c r="R43" i="24" s="1"/>
  <c r="N62" i="24"/>
  <c r="P62" i="24" s="1"/>
  <c r="R62" i="24" s="1"/>
  <c r="N23" i="24"/>
  <c r="P23" i="24" s="1"/>
  <c r="N53" i="24"/>
  <c r="P53" i="24" s="1"/>
  <c r="R53" i="24" s="1"/>
  <c r="M38" i="24"/>
  <c r="O38" i="24" s="1"/>
  <c r="Q38" i="24" s="1"/>
  <c r="M49" i="24"/>
  <c r="O49" i="24" s="1"/>
  <c r="Q49" i="24" s="1"/>
  <c r="M61" i="24"/>
  <c r="O61" i="24" s="1"/>
  <c r="M18" i="24"/>
  <c r="O18" i="24" s="1"/>
  <c r="M45" i="24"/>
  <c r="O45" i="24" s="1"/>
  <c r="Q45" i="24" s="1"/>
  <c r="M37" i="24"/>
  <c r="O37" i="24" s="1"/>
  <c r="Q37" i="24" s="1"/>
  <c r="M35" i="24"/>
  <c r="O35" i="24" s="1"/>
  <c r="M40" i="24"/>
  <c r="O40" i="24" s="1"/>
  <c r="Q40" i="24" s="1"/>
  <c r="M24" i="24"/>
  <c r="O24" i="24" s="1"/>
  <c r="N16" i="24"/>
  <c r="P16" i="24" s="1"/>
  <c r="M34" i="24"/>
  <c r="O34" i="24" s="1"/>
  <c r="Q34" i="24" s="1"/>
  <c r="M8" i="24"/>
  <c r="O8" i="24" s="1"/>
  <c r="N47" i="24"/>
  <c r="P47" i="24" s="1"/>
  <c r="R47" i="24" s="1"/>
  <c r="N10" i="24"/>
  <c r="P10" i="24" s="1"/>
  <c r="R10" i="24" s="1"/>
  <c r="N5" i="24"/>
  <c r="P5" i="24" s="1"/>
  <c r="M41" i="24"/>
  <c r="O41" i="24" s="1"/>
  <c r="Q41" i="24" s="1"/>
  <c r="M4" i="24"/>
  <c r="O4" i="24" s="1"/>
  <c r="M43" i="24"/>
  <c r="O43" i="24" s="1"/>
  <c r="M51" i="24"/>
  <c r="O51" i="24" s="1"/>
  <c r="Q51" i="24" s="1"/>
  <c r="M22" i="24"/>
  <c r="O22" i="24" s="1"/>
  <c r="M56" i="24"/>
  <c r="O56" i="24" s="1"/>
  <c r="N17" i="24"/>
  <c r="P17" i="24" s="1"/>
  <c r="R17" i="24" s="1"/>
  <c r="N2" i="24"/>
  <c r="P2" i="24" s="1"/>
  <c r="N19" i="24"/>
  <c r="P19" i="24" s="1"/>
  <c r="R19" i="24" s="1"/>
  <c r="N11" i="24"/>
  <c r="P11" i="24" s="1"/>
  <c r="R11" i="24" s="1"/>
  <c r="M44" i="24"/>
  <c r="O44" i="24" s="1"/>
  <c r="Q44" i="24" s="1"/>
  <c r="M3" i="24"/>
  <c r="O3" i="24" s="1"/>
  <c r="M29" i="24"/>
  <c r="O29" i="24" s="1"/>
  <c r="M32" i="24"/>
  <c r="O32" i="24" s="1"/>
  <c r="Q32" i="24" s="1"/>
  <c r="N30" i="24"/>
  <c r="P30" i="24" s="1"/>
  <c r="N58" i="24"/>
  <c r="P58" i="24" s="1"/>
  <c r="R58" i="24" s="1"/>
  <c r="N59" i="24"/>
  <c r="P59" i="24" s="1"/>
  <c r="R59" i="24" s="1"/>
  <c r="N31" i="24"/>
  <c r="P31" i="24" s="1"/>
  <c r="N46" i="24"/>
  <c r="P46" i="24" s="1"/>
  <c r="R46" i="24" s="1"/>
  <c r="M14" i="24"/>
  <c r="O14" i="24" s="1"/>
  <c r="M28" i="24"/>
  <c r="O28" i="24" s="1"/>
  <c r="Q28" i="24" s="1"/>
  <c r="M39" i="24"/>
  <c r="O39" i="24" s="1"/>
  <c r="M21" i="24"/>
  <c r="O21" i="24" s="1"/>
  <c r="M9" i="24"/>
  <c r="O9" i="24" s="1"/>
  <c r="M27" i="24"/>
  <c r="O27" i="24" s="1"/>
  <c r="Q27" i="24" s="1"/>
  <c r="M16" i="24"/>
  <c r="O16" i="24" s="1"/>
  <c r="N44" i="24"/>
  <c r="P44" i="24" s="1"/>
  <c r="R44" i="24" s="1"/>
  <c r="N29" i="24"/>
  <c r="P29" i="24" s="1"/>
  <c r="R29" i="24" s="1"/>
  <c r="N32" i="24"/>
  <c r="P32" i="24" s="1"/>
  <c r="R32" i="24" s="1"/>
  <c r="N3" i="24"/>
  <c r="P3" i="24" s="1"/>
  <c r="I22" i="19"/>
  <c r="F23" i="19"/>
  <c r="E23" i="19"/>
  <c r="D23" i="19"/>
  <c r="F98" i="25" l="1"/>
  <c r="R3" i="24"/>
  <c r="H13" i="19"/>
  <c r="I13" i="19" s="1"/>
  <c r="R12" i="24"/>
  <c r="H16" i="19"/>
  <c r="I16" i="19" s="1"/>
  <c r="R4" i="24"/>
  <c r="H11" i="19"/>
  <c r="Q6" i="24"/>
  <c r="I8" i="25"/>
  <c r="R13" i="24"/>
  <c r="H2" i="19"/>
  <c r="Q24" i="24"/>
  <c r="I9" i="25"/>
  <c r="J9" i="25" s="1"/>
  <c r="Q15" i="24"/>
  <c r="I58" i="25"/>
  <c r="J58" i="25" s="1"/>
  <c r="Q50" i="24"/>
  <c r="I64" i="25"/>
  <c r="K64" i="25" s="1"/>
  <c r="Q21" i="24"/>
  <c r="I61" i="25"/>
  <c r="K61" i="25" s="1"/>
  <c r="Q43" i="24"/>
  <c r="I38" i="25"/>
  <c r="J38" i="25" s="1"/>
  <c r="Q8" i="24"/>
  <c r="I57" i="25"/>
  <c r="I81" i="25" s="1"/>
  <c r="Q35" i="24"/>
  <c r="I34" i="25"/>
  <c r="J34" i="25" s="1"/>
  <c r="Q64" i="24"/>
  <c r="H8" i="25"/>
  <c r="K8" i="25" s="1"/>
  <c r="Q5" i="24"/>
  <c r="I66" i="25"/>
  <c r="J66" i="25" s="1"/>
  <c r="Q13" i="24"/>
  <c r="I4" i="25"/>
  <c r="Q30" i="24"/>
  <c r="I73" i="25"/>
  <c r="J73" i="25" s="1"/>
  <c r="R50" i="24"/>
  <c r="H12" i="19"/>
  <c r="I12" i="19" s="1"/>
  <c r="Q22" i="24"/>
  <c r="I35" i="25"/>
  <c r="K35" i="25" s="1"/>
  <c r="Q39" i="24"/>
  <c r="I11" i="25"/>
  <c r="R30" i="24"/>
  <c r="H21" i="19"/>
  <c r="I21" i="19" s="1"/>
  <c r="Q4" i="24"/>
  <c r="I13" i="25"/>
  <c r="I87" i="25" s="1"/>
  <c r="R23" i="24"/>
  <c r="H10" i="19"/>
  <c r="I10" i="19" s="1"/>
  <c r="Q26" i="24"/>
  <c r="I29" i="25"/>
  <c r="K29" i="25" s="1"/>
  <c r="Q23" i="24"/>
  <c r="I62" i="25"/>
  <c r="J62" i="25" s="1"/>
  <c r="R31" i="24"/>
  <c r="H4" i="19"/>
  <c r="I4" i="19" s="1"/>
  <c r="R22" i="24"/>
  <c r="H8" i="19"/>
  <c r="I8" i="19" s="1"/>
  <c r="R2" i="24"/>
  <c r="H17" i="19"/>
  <c r="I17" i="19" s="1"/>
  <c r="R7" i="24"/>
  <c r="H19" i="19"/>
  <c r="I19" i="19" s="1"/>
  <c r="Q60" i="24"/>
  <c r="H4" i="25"/>
  <c r="Q62" i="24"/>
  <c r="H12" i="25"/>
  <c r="H86" i="25" s="1"/>
  <c r="Q48" i="24"/>
  <c r="I22" i="25"/>
  <c r="J22" i="25" s="1"/>
  <c r="Q16" i="24"/>
  <c r="I42" i="25"/>
  <c r="K42" i="25" s="1"/>
  <c r="Q14" i="24"/>
  <c r="I36" i="25"/>
  <c r="K36" i="25" s="1"/>
  <c r="Q18" i="24"/>
  <c r="I59" i="25"/>
  <c r="Q33" i="24"/>
  <c r="I55" i="25"/>
  <c r="R20" i="24"/>
  <c r="H20" i="19"/>
  <c r="I20" i="19" s="1"/>
  <c r="Q31" i="24"/>
  <c r="I6" i="25"/>
  <c r="J6" i="25" s="1"/>
  <c r="R9" i="24"/>
  <c r="H18" i="19"/>
  <c r="I18" i="19" s="1"/>
  <c r="R8" i="24"/>
  <c r="H5" i="19"/>
  <c r="I5" i="19" s="1"/>
  <c r="Q2" i="24"/>
  <c r="I44" i="25"/>
  <c r="Q20" i="24"/>
  <c r="I47" i="25"/>
  <c r="J47" i="25" s="1"/>
  <c r="Q9" i="24"/>
  <c r="I45" i="25"/>
  <c r="K45" i="25" s="1"/>
  <c r="Q29" i="24"/>
  <c r="I15" i="25"/>
  <c r="R5" i="24"/>
  <c r="H14" i="19"/>
  <c r="I14" i="19" s="1"/>
  <c r="R16" i="24"/>
  <c r="H15" i="19"/>
  <c r="I15" i="19" s="1"/>
  <c r="Q61" i="24"/>
  <c r="H59" i="25"/>
  <c r="H74" i="25" s="1"/>
  <c r="R6" i="24"/>
  <c r="H6" i="19"/>
  <c r="I6" i="19" s="1"/>
  <c r="Q12" i="24"/>
  <c r="I43" i="25"/>
  <c r="I92" i="25" s="1"/>
  <c r="R18" i="24"/>
  <c r="H7" i="19"/>
  <c r="I7" i="19" s="1"/>
  <c r="Q11" i="24"/>
  <c r="I69" i="25"/>
  <c r="J69" i="25" s="1"/>
  <c r="Q36" i="24"/>
  <c r="I72" i="25"/>
  <c r="I96" i="25" s="1"/>
  <c r="Q3" i="24"/>
  <c r="I65" i="25"/>
  <c r="J65" i="25" s="1"/>
  <c r="Q56" i="24"/>
  <c r="I10" i="25"/>
  <c r="J10" i="25" s="1"/>
  <c r="Q46" i="24"/>
  <c r="I56" i="25"/>
  <c r="J56" i="25" s="1"/>
  <c r="R14" i="24"/>
  <c r="H9" i="19"/>
  <c r="I9" i="19" s="1"/>
  <c r="K17" i="25"/>
  <c r="H87" i="25"/>
  <c r="E94" i="25"/>
  <c r="J59" i="25"/>
  <c r="K67" i="25"/>
  <c r="I95" i="25"/>
  <c r="E86" i="25"/>
  <c r="K23" i="25"/>
  <c r="E79" i="25"/>
  <c r="H49" i="25"/>
  <c r="J68" i="25"/>
  <c r="J41" i="25"/>
  <c r="E89" i="25"/>
  <c r="K20" i="25"/>
  <c r="J19" i="25"/>
  <c r="H93" i="25"/>
  <c r="K18" i="25"/>
  <c r="H84" i="25"/>
  <c r="H85" i="25"/>
  <c r="E81" i="25"/>
  <c r="K33" i="25"/>
  <c r="J70" i="25"/>
  <c r="K39" i="25"/>
  <c r="E95" i="25"/>
  <c r="D74" i="25"/>
  <c r="K54" i="25"/>
  <c r="J60" i="25"/>
  <c r="H80" i="25"/>
  <c r="J37" i="25"/>
  <c r="K58" i="25"/>
  <c r="D49" i="25"/>
  <c r="E97" i="25"/>
  <c r="E96" i="25"/>
  <c r="E90" i="25"/>
  <c r="K7" i="25"/>
  <c r="J46" i="25"/>
  <c r="K19" i="25"/>
  <c r="K5" i="25"/>
  <c r="K12" i="25"/>
  <c r="H89" i="25"/>
  <c r="K21" i="25"/>
  <c r="E85" i="25"/>
  <c r="K70" i="25"/>
  <c r="J5" i="25"/>
  <c r="H79" i="25"/>
  <c r="J23" i="25"/>
  <c r="H97" i="25"/>
  <c r="H96" i="25"/>
  <c r="J7" i="25"/>
  <c r="D24" i="25"/>
  <c r="K71" i="25"/>
  <c r="K16" i="25"/>
  <c r="K37" i="25"/>
  <c r="K6" i="25"/>
  <c r="J55" i="25"/>
  <c r="E82" i="25"/>
  <c r="K46" i="25"/>
  <c r="J20" i="25"/>
  <c r="H94" i="25"/>
  <c r="J14" i="25"/>
  <c r="H88" i="25"/>
  <c r="K32" i="25"/>
  <c r="K14" i="25"/>
  <c r="E83" i="25"/>
  <c r="K47" i="25"/>
  <c r="J54" i="25"/>
  <c r="J21" i="25"/>
  <c r="H95" i="25"/>
  <c r="J36" i="25"/>
  <c r="J16" i="25"/>
  <c r="K41" i="25"/>
  <c r="K22" i="25"/>
  <c r="J30" i="25"/>
  <c r="J12" i="25"/>
  <c r="K30" i="25"/>
  <c r="E78" i="25"/>
  <c r="J67" i="25"/>
  <c r="I11" i="19"/>
  <c r="J57" i="25" l="1"/>
  <c r="K9" i="25"/>
  <c r="J80" i="25"/>
  <c r="K56" i="25"/>
  <c r="K72" i="25"/>
  <c r="J61" i="25"/>
  <c r="I82" i="25"/>
  <c r="I85" i="25"/>
  <c r="I94" i="25"/>
  <c r="J35" i="25"/>
  <c r="J29" i="25"/>
  <c r="I80" i="25"/>
  <c r="K13" i="25"/>
  <c r="K69" i="25"/>
  <c r="I49" i="25"/>
  <c r="I84" i="25"/>
  <c r="J64" i="25"/>
  <c r="J88" i="25" s="1"/>
  <c r="K10" i="25"/>
  <c r="K84" i="25" s="1"/>
  <c r="I83" i="25"/>
  <c r="K66" i="25"/>
  <c r="K90" i="25" s="1"/>
  <c r="I86" i="25"/>
  <c r="K43" i="25"/>
  <c r="K92" i="25" s="1"/>
  <c r="I74" i="25"/>
  <c r="I24" i="25"/>
  <c r="J90" i="25"/>
  <c r="I90" i="25"/>
  <c r="K62" i="25"/>
  <c r="K57" i="25"/>
  <c r="K65" i="25"/>
  <c r="J43" i="25"/>
  <c r="J92" i="25" s="1"/>
  <c r="I89" i="25"/>
  <c r="J42" i="25"/>
  <c r="J91" i="25" s="1"/>
  <c r="I91" i="25"/>
  <c r="J13" i="25"/>
  <c r="J86" i="25"/>
  <c r="J95" i="25"/>
  <c r="K96" i="25"/>
  <c r="K80" i="25"/>
  <c r="K82" i="25"/>
  <c r="I78" i="25"/>
  <c r="K15" i="25"/>
  <c r="K11" i="25"/>
  <c r="K85" i="25" s="1"/>
  <c r="J45" i="25"/>
  <c r="J94" i="25" s="1"/>
  <c r="K44" i="25"/>
  <c r="K93" i="25" s="1"/>
  <c r="K4" i="25"/>
  <c r="J97" i="25"/>
  <c r="K86" i="25"/>
  <c r="I88" i="25"/>
  <c r="D98" i="25"/>
  <c r="K34" i="25"/>
  <c r="K38" i="25"/>
  <c r="J87" i="25"/>
  <c r="J15" i="25"/>
  <c r="J89" i="25" s="1"/>
  <c r="J44" i="25"/>
  <c r="J93" i="25" s="1"/>
  <c r="I97" i="25"/>
  <c r="K88" i="25"/>
  <c r="J81" i="25"/>
  <c r="K95" i="25"/>
  <c r="H83" i="25"/>
  <c r="K81" i="25"/>
  <c r="K73" i="25"/>
  <c r="K97" i="25" s="1"/>
  <c r="J11" i="25"/>
  <c r="J85" i="25" s="1"/>
  <c r="K91" i="25"/>
  <c r="J83" i="25"/>
  <c r="K59" i="25"/>
  <c r="E98" i="25"/>
  <c r="K55" i="25"/>
  <c r="K79" i="25" s="1"/>
  <c r="J72" i="25"/>
  <c r="J96" i="25" s="1"/>
  <c r="J79" i="25"/>
  <c r="I93" i="25"/>
  <c r="K94" i="25"/>
  <c r="J4" i="25"/>
  <c r="H78" i="25"/>
  <c r="H24" i="25"/>
  <c r="J8" i="25"/>
  <c r="J82" i="25" s="1"/>
  <c r="H82" i="25"/>
  <c r="I79" i="25"/>
  <c r="J84" i="25"/>
  <c r="H23" i="19"/>
  <c r="I2" i="19"/>
  <c r="I23" i="19" s="1"/>
  <c r="K87" i="25" l="1"/>
  <c r="K89" i="25"/>
  <c r="D100" i="25"/>
  <c r="K83" i="25"/>
  <c r="H98" i="25"/>
  <c r="I98" i="25"/>
  <c r="J74" i="25"/>
  <c r="K49" i="25"/>
  <c r="K74" i="25"/>
  <c r="J49" i="25"/>
  <c r="K78" i="25"/>
  <c r="K98" i="25" s="1"/>
  <c r="K24" i="25"/>
  <c r="J78" i="25"/>
  <c r="J98" i="25" s="1"/>
  <c r="J24" i="25"/>
</calcChain>
</file>

<file path=xl/comments1.xml><?xml version="1.0" encoding="utf-8"?>
<comments xmlns="http://schemas.openxmlformats.org/spreadsheetml/2006/main">
  <authors>
    <author>Gfloria</author>
  </authors>
  <commentList>
    <comment ref="O2" authorId="0" shapeId="0">
      <text>
        <r>
          <rPr>
            <b/>
            <sz val="8"/>
            <color indexed="81"/>
            <rFont val="Tahoma"/>
            <family val="2"/>
          </rPr>
          <t>Gfloria:</t>
        </r>
        <r>
          <rPr>
            <sz val="8"/>
            <color indexed="81"/>
            <rFont val="Tahoma"/>
            <family val="2"/>
          </rPr>
          <t xml:space="preserve">
(analisi-$A2)/gganno = giorni trascorsi dalla data di analisi alla data di acquisto / 365 o 366</t>
        </r>
      </text>
    </comment>
  </commentList>
</comments>
</file>

<file path=xl/sharedStrings.xml><?xml version="1.0" encoding="utf-8"?>
<sst xmlns="http://schemas.openxmlformats.org/spreadsheetml/2006/main" count="638" uniqueCount="94">
  <si>
    <t>R &amp; D</t>
  </si>
  <si>
    <t>Spese d'impianto</t>
  </si>
  <si>
    <t>Marchi e Brevetti</t>
  </si>
  <si>
    <t>Costi acq. Ramo di azienda</t>
  </si>
  <si>
    <t>Avanzo di fusione</t>
  </si>
  <si>
    <t>Prog. Software</t>
  </si>
  <si>
    <t>Avviamento</t>
  </si>
  <si>
    <t>Totale</t>
  </si>
  <si>
    <t>Fabbricati industriali</t>
  </si>
  <si>
    <t>Costruzioni leggere</t>
  </si>
  <si>
    <t>Terreni</t>
  </si>
  <si>
    <t>Impianti specifici</t>
  </si>
  <si>
    <t>Automezzi</t>
  </si>
  <si>
    <t>Attrezzatura Varia</t>
  </si>
  <si>
    <t>Mobili e macchine da ufficio</t>
  </si>
  <si>
    <t>Macchine Elettroniche uff</t>
  </si>
  <si>
    <t>App. elettroniche produzione</t>
  </si>
  <si>
    <t>Impianti di magazzino</t>
  </si>
  <si>
    <t>Stampi</t>
  </si>
  <si>
    <t>Arredamento ufficio</t>
  </si>
  <si>
    <t>Impianto allarme</t>
  </si>
  <si>
    <t>Telefoni cellulari</t>
  </si>
  <si>
    <t>Materiali</t>
  </si>
  <si>
    <t>Immateriali</t>
  </si>
  <si>
    <t>Chiusura Mese</t>
  </si>
  <si>
    <t>Giorni di ammortamento ---&gt;</t>
  </si>
  <si>
    <t>Mat/Imm</t>
  </si>
  <si>
    <t>Descrizione Catergoria</t>
  </si>
  <si>
    <t>Descizione Categoria</t>
  </si>
  <si>
    <t>Giorni in un anno ---&gt;</t>
  </si>
  <si>
    <t>Tipo</t>
  </si>
  <si>
    <t>Cod. Categoria</t>
  </si>
  <si>
    <t>Al. Anno</t>
  </si>
  <si>
    <t>Al. Anno Oggi</t>
  </si>
  <si>
    <t>Al. Fiscali</t>
  </si>
  <si>
    <t>Al. Fisc. Oggi</t>
  </si>
  <si>
    <t>M16</t>
  </si>
  <si>
    <t>M12</t>
  </si>
  <si>
    <t>M10</t>
  </si>
  <si>
    <t>M13</t>
  </si>
  <si>
    <t>M5</t>
  </si>
  <si>
    <t>M18</t>
  </si>
  <si>
    <t>M4</t>
  </si>
  <si>
    <t>M17</t>
  </si>
  <si>
    <t>M15</t>
  </si>
  <si>
    <t>M8</t>
  </si>
  <si>
    <t>M19</t>
  </si>
  <si>
    <t>M14</t>
  </si>
  <si>
    <t>M6</t>
  </si>
  <si>
    <t>M1</t>
  </si>
  <si>
    <t>M20</t>
  </si>
  <si>
    <t>M2</t>
  </si>
  <si>
    <t>M11</t>
  </si>
  <si>
    <t>M9</t>
  </si>
  <si>
    <t>Costo di Acquisto</t>
  </si>
  <si>
    <t>F. Amm. Gest</t>
  </si>
  <si>
    <t>F. Amm. Fisc</t>
  </si>
  <si>
    <t>VNC Gest</t>
  </si>
  <si>
    <t>VNC Fisc</t>
  </si>
  <si>
    <t>Cod. Cat</t>
  </si>
  <si>
    <t>xxxxx</t>
  </si>
  <si>
    <t>Residuo Gest</t>
  </si>
  <si>
    <t>Residuo Fisc</t>
  </si>
  <si>
    <t>Al. Gest</t>
  </si>
  <si>
    <t>Al. Fisc</t>
  </si>
  <si>
    <t>Amm Gest</t>
  </si>
  <si>
    <t>Amm Fisc</t>
  </si>
  <si>
    <t>Costo di acquisto</t>
  </si>
  <si>
    <t>VNC</t>
  </si>
  <si>
    <t>Incrementi</t>
  </si>
  <si>
    <t>Decrementi</t>
  </si>
  <si>
    <t>Fondo Ammort.</t>
  </si>
  <si>
    <t>Amm.ti</t>
  </si>
  <si>
    <t>Check</t>
  </si>
  <si>
    <t>Cdc</t>
  </si>
  <si>
    <t>Fin</t>
  </si>
  <si>
    <t>Nprogr.</t>
  </si>
  <si>
    <t>Descr.</t>
  </si>
  <si>
    <t>M7</t>
  </si>
  <si>
    <t>M3</t>
  </si>
  <si>
    <t>Cod. Cat.</t>
  </si>
  <si>
    <t>R&amp;D</t>
  </si>
  <si>
    <t>Prod</t>
  </si>
  <si>
    <t>Inizio Anno</t>
  </si>
  <si>
    <t>ALL</t>
  </si>
  <si>
    <t>Data acq.</t>
  </si>
  <si>
    <t>Metodo Civilistico o Gestionale?</t>
  </si>
  <si>
    <t>Amm.ti new</t>
  </si>
  <si>
    <t>Amm.ti old</t>
  </si>
  <si>
    <t>Amm.ti TOT</t>
  </si>
  <si>
    <t>M21</t>
  </si>
  <si>
    <t>La spiegazione del modello si trova nel testo:</t>
  </si>
  <si>
    <t>C</t>
  </si>
  <si>
    <t>Old/New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</si>
</sst>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-* #,##0.00_-;\-* #,##0.00_-;_-* &quot;-&quot;??_-;_-@_-"/>
    <numFmt numFmtId="174" formatCode="0.0%"/>
    <numFmt numFmtId="175" formatCode="0.000%"/>
    <numFmt numFmtId="176" formatCode="dd/mm/yy;@"/>
  </numFmts>
  <fonts count="11" x14ac:knownFonts="1">
    <font>
      <sz val="10"/>
      <name val="Arial"/>
    </font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10"/>
      <color indexed="12"/>
      <name val="Tahoma"/>
      <family val="2"/>
    </font>
    <font>
      <sz val="10"/>
      <color indexed="48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Trebuchet MS"/>
      <family val="2"/>
    </font>
    <font>
      <sz val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0" fontId="1" fillId="0" borderId="0"/>
    <xf numFmtId="0" fontId="9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14" fontId="4" fillId="0" borderId="0" xfId="0" applyNumberFormat="1" applyFont="1"/>
    <xf numFmtId="0" fontId="3" fillId="0" borderId="0" xfId="0" applyFont="1" applyBorder="1"/>
    <xf numFmtId="0" fontId="2" fillId="0" borderId="0" xfId="0" applyFont="1" applyAlignment="1">
      <alignment horizontal="right"/>
    </xf>
    <xf numFmtId="1" fontId="3" fillId="0" borderId="0" xfId="0" applyNumberFormat="1" applyFont="1"/>
    <xf numFmtId="49" fontId="3" fillId="0" borderId="0" xfId="0" applyNumberFormat="1" applyFont="1"/>
    <xf numFmtId="10" fontId="2" fillId="0" borderId="0" xfId="4" applyNumberFormat="1" applyFont="1"/>
    <xf numFmtId="49" fontId="3" fillId="0" borderId="0" xfId="0" applyNumberFormat="1" applyFont="1" applyBorder="1"/>
    <xf numFmtId="2" fontId="2" fillId="0" borderId="0" xfId="0" applyNumberFormat="1" applyFont="1"/>
    <xf numFmtId="175" fontId="2" fillId="0" borderId="0" xfId="4" applyNumberFormat="1" applyFont="1"/>
    <xf numFmtId="171" fontId="2" fillId="0" borderId="0" xfId="1" applyFont="1"/>
    <xf numFmtId="176" fontId="5" fillId="0" borderId="0" xfId="0" applyNumberFormat="1" applyFont="1"/>
    <xf numFmtId="0" fontId="5" fillId="0" borderId="0" xfId="0" applyNumberFormat="1" applyFont="1" applyBorder="1"/>
    <xf numFmtId="176" fontId="5" fillId="0" borderId="0" xfId="0" applyNumberFormat="1" applyFont="1" applyProtection="1">
      <protection locked="0"/>
    </xf>
    <xf numFmtId="0" fontId="5" fillId="0" borderId="0" xfId="0" applyFont="1"/>
    <xf numFmtId="49" fontId="5" fillId="0" borderId="0" xfId="0" applyNumberFormat="1" applyFont="1" applyBorder="1"/>
    <xf numFmtId="171" fontId="5" fillId="0" borderId="0" xfId="1" applyFont="1"/>
    <xf numFmtId="171" fontId="2" fillId="0" borderId="0" xfId="1" applyFont="1" applyBorder="1"/>
    <xf numFmtId="171" fontId="5" fillId="0" borderId="0" xfId="1" applyFont="1" applyBorder="1"/>
    <xf numFmtId="171" fontId="2" fillId="0" borderId="0" xfId="0" applyNumberFormat="1" applyFont="1"/>
    <xf numFmtId="0" fontId="5" fillId="0" borderId="0" xfId="0" applyNumberFormat="1" applyFont="1"/>
    <xf numFmtId="174" fontId="2" fillId="0" borderId="0" xfId="4" applyNumberFormat="1" applyFont="1" applyBorder="1"/>
    <xf numFmtId="176" fontId="5" fillId="2" borderId="0" xfId="0" applyNumberFormat="1" applyFont="1" applyFill="1" applyProtection="1">
      <protection locked="0"/>
    </xf>
    <xf numFmtId="0" fontId="5" fillId="2" borderId="0" xfId="0" applyNumberFormat="1" applyFont="1" applyFill="1"/>
    <xf numFmtId="176" fontId="5" fillId="2" borderId="0" xfId="0" applyNumberFormat="1" applyFont="1" applyFill="1"/>
    <xf numFmtId="0" fontId="5" fillId="2" borderId="0" xfId="0" applyNumberFormat="1" applyFont="1" applyFill="1" applyBorder="1"/>
    <xf numFmtId="0" fontId="2" fillId="2" borderId="0" xfId="0" applyFont="1" applyFill="1" applyBorder="1"/>
    <xf numFmtId="171" fontId="5" fillId="2" borderId="0" xfId="1" applyFont="1" applyFill="1"/>
    <xf numFmtId="171" fontId="5" fillId="2" borderId="0" xfId="1" applyFont="1" applyFill="1" applyBorder="1"/>
    <xf numFmtId="171" fontId="2" fillId="2" borderId="0" xfId="1" applyFont="1" applyFill="1" applyBorder="1"/>
    <xf numFmtId="174" fontId="2" fillId="2" borderId="0" xfId="4" applyNumberFormat="1" applyFont="1" applyFill="1" applyBorder="1"/>
    <xf numFmtId="171" fontId="2" fillId="2" borderId="0" xfId="0" applyNumberFormat="1" applyFont="1" applyFill="1"/>
    <xf numFmtId="0" fontId="2" fillId="2" borderId="0" xfId="0" applyFont="1" applyFill="1"/>
    <xf numFmtId="171" fontId="2" fillId="0" borderId="0" xfId="1" applyNumberFormat="1" applyFont="1"/>
    <xf numFmtId="171" fontId="3" fillId="0" borderId="0" xfId="0" applyNumberFormat="1" applyFont="1"/>
    <xf numFmtId="10" fontId="5" fillId="0" borderId="0" xfId="0" applyNumberFormat="1" applyFont="1" applyFill="1"/>
    <xf numFmtId="174" fontId="5" fillId="0" borderId="0" xfId="4" applyNumberFormat="1" applyFont="1"/>
    <xf numFmtId="171" fontId="3" fillId="0" borderId="1" xfId="0" applyNumberFormat="1" applyFont="1" applyBorder="1"/>
    <xf numFmtId="0" fontId="3" fillId="3" borderId="0" xfId="0" applyFont="1" applyFill="1"/>
    <xf numFmtId="171" fontId="2" fillId="3" borderId="0" xfId="1" applyFont="1" applyFill="1"/>
    <xf numFmtId="171" fontId="3" fillId="3" borderId="0" xfId="0" applyNumberFormat="1" applyFont="1" applyFill="1"/>
    <xf numFmtId="0" fontId="0" fillId="0" borderId="2" xfId="0" applyBorder="1"/>
    <xf numFmtId="0" fontId="9" fillId="0" borderId="0" xfId="3"/>
  </cellXfs>
  <cellStyles count="5">
    <cellStyle name="Migliaia" xfId="1" builtinId="3"/>
    <cellStyle name="Normal_CAPEX (2)" xfId="2"/>
    <cellStyle name="Normale" xfId="0" builtinId="0"/>
    <cellStyle name="Normale_Simulazione" xfId="3"/>
    <cellStyle name="Percentual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ternetbookshop.it/ser/serdsp.asp?shop=2553&amp;c=PCK74AKM32SGC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excelling.it/bookshop.asp" TargetMode="Externa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ling.it/bookshop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5</xdr:row>
      <xdr:rowOff>82550</xdr:rowOff>
    </xdr:from>
    <xdr:to>
      <xdr:col>7</xdr:col>
      <xdr:colOff>6350</xdr:colOff>
      <xdr:row>9</xdr:row>
      <xdr:rowOff>25400</xdr:rowOff>
    </xdr:to>
    <xdr:grpSp>
      <xdr:nvGrpSpPr>
        <xdr:cNvPr id="6145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6E16B3-D687-4AED-AA1C-8841A22E4822}"/>
            </a:ext>
          </a:extLst>
        </xdr:cNvPr>
        <xdr:cNvGrpSpPr>
          <a:grpSpLocks/>
        </xdr:cNvGrpSpPr>
      </xdr:nvGrpSpPr>
      <xdr:grpSpPr bwMode="auto">
        <a:xfrm>
          <a:off x="2581275" y="942975"/>
          <a:ext cx="1895475" cy="628650"/>
          <a:chOff x="379" y="70"/>
          <a:chExt cx="188" cy="70"/>
        </a:xfrm>
      </xdr:grpSpPr>
      <xdr:sp macro="" textlink="">
        <xdr:nvSpPr>
          <xdr:cNvPr id="6146" name="WordArt 2">
            <a:extLst>
              <a:ext uri="{FF2B5EF4-FFF2-40B4-BE49-F238E27FC236}">
                <a16:creationId xmlns:a16="http://schemas.microsoft.com/office/drawing/2014/main" id="{785C478E-8F99-439D-80D4-79E4ABFE0DB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-3517817">
            <a:off x="390" y="59"/>
            <a:ext cx="70" cy="9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99CC00" mc:Ignorable="a14" a14:legacySpreadsheetColorIndex="5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it-IT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99CC00" mc:Ignorable="a14" a14:legacySpreadsheetColorIndex="50">
                    <a:alpha val="50000"/>
                  </a:srgbClr>
                </a:solidFill>
                <a:effectLst/>
                <a:latin typeface="Arial Black" panose="020B0A04020102020204" pitchFamily="34" charset="0"/>
              </a:rPr>
              <a:t>scaricato da</a:t>
            </a:r>
          </a:p>
        </xdr:txBody>
      </xdr:sp>
      <xdr:pic>
        <xdr:nvPicPr>
          <xdr:cNvPr id="6147" name="Picture 3" descr="Base_LOGO_bello">
            <a:extLst>
              <a:ext uri="{FF2B5EF4-FFF2-40B4-BE49-F238E27FC236}">
                <a16:creationId xmlns:a16="http://schemas.microsoft.com/office/drawing/2014/main" id="{306BFF3E-6E28-450D-873B-29D88D1206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" y="74"/>
            <a:ext cx="173" cy="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139700</xdr:colOff>
      <xdr:row>1</xdr:row>
      <xdr:rowOff>57150</xdr:rowOff>
    </xdr:from>
    <xdr:to>
      <xdr:col>3</xdr:col>
      <xdr:colOff>203200</xdr:colOff>
      <xdr:row>15</xdr:row>
      <xdr:rowOff>95250</xdr:rowOff>
    </xdr:to>
    <xdr:pic>
      <xdr:nvPicPr>
        <xdr:cNvPr id="6148" name="Picture 4" descr="88481168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E086E43-F1B5-4233-903F-05DF03AA1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28600"/>
          <a:ext cx="198755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13</xdr:row>
      <xdr:rowOff>44450</xdr:rowOff>
    </xdr:from>
    <xdr:to>
      <xdr:col>2</xdr:col>
      <xdr:colOff>196850</xdr:colOff>
      <xdr:row>19</xdr:row>
      <xdr:rowOff>31750</xdr:rowOff>
    </xdr:to>
    <xdr:grpSp>
      <xdr:nvGrpSpPr>
        <xdr:cNvPr id="2054" name="Group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8A4457-26C0-4487-84EE-D89EC632B5DC}"/>
            </a:ext>
          </a:extLst>
        </xdr:cNvPr>
        <xdr:cNvGrpSpPr>
          <a:grpSpLocks/>
        </xdr:cNvGrpSpPr>
      </xdr:nvGrpSpPr>
      <xdr:grpSpPr bwMode="auto">
        <a:xfrm>
          <a:off x="123825" y="2170339"/>
          <a:ext cx="2378529" cy="960665"/>
          <a:chOff x="379" y="70"/>
          <a:chExt cx="188" cy="70"/>
        </a:xfrm>
      </xdr:grpSpPr>
      <xdr:sp macro="" textlink="">
        <xdr:nvSpPr>
          <xdr:cNvPr id="2055" name="WordArt 7">
            <a:extLst>
              <a:ext uri="{FF2B5EF4-FFF2-40B4-BE49-F238E27FC236}">
                <a16:creationId xmlns:a16="http://schemas.microsoft.com/office/drawing/2014/main" id="{6F20769A-BCD2-467D-A19F-DD5E8EFB853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-3517817">
            <a:off x="390" y="59"/>
            <a:ext cx="70" cy="9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99CC00" mc:Ignorable="a14" a14:legacySpreadsheetColorIndex="5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it-IT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99CC00" mc:Ignorable="a14" a14:legacySpreadsheetColorIndex="50">
                    <a:alpha val="50000"/>
                  </a:srgbClr>
                </a:solidFill>
                <a:effectLst/>
                <a:latin typeface="Arial Black" panose="020B0A04020102020204" pitchFamily="34" charset="0"/>
              </a:rPr>
              <a:t>scaricato da</a:t>
            </a:r>
          </a:p>
        </xdr:txBody>
      </xdr:sp>
      <xdr:pic>
        <xdr:nvPicPr>
          <xdr:cNvPr id="2056" name="Picture 8" descr="Base_LOGO_bello">
            <a:extLst>
              <a:ext uri="{FF2B5EF4-FFF2-40B4-BE49-F238E27FC236}">
                <a16:creationId xmlns:a16="http://schemas.microsoft.com/office/drawing/2014/main" id="{4C76F5E8-5120-42B1-924C-1ED3F32B653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" y="74"/>
            <a:ext cx="173" cy="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107950</xdr:colOff>
      <xdr:row>0</xdr:row>
      <xdr:rowOff>88900</xdr:rowOff>
    </xdr:from>
    <xdr:to>
      <xdr:col>7</xdr:col>
      <xdr:colOff>393700</xdr:colOff>
      <xdr:row>10</xdr:row>
      <xdr:rowOff>0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17BB02E0-3EFB-4D82-A6E9-10961FA405F2}"/>
            </a:ext>
          </a:extLst>
        </xdr:cNvPr>
        <xdr:cNvSpPr>
          <a:spLocks noChangeArrowheads="1"/>
        </xdr:cNvSpPr>
      </xdr:nvSpPr>
      <xdr:spPr bwMode="auto">
        <a:xfrm>
          <a:off x="1936750" y="88900"/>
          <a:ext cx="2724150" cy="1498600"/>
        </a:xfrm>
        <a:prstGeom prst="flowChartDecision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36576" tIns="36576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l'aliquota % moltiplicata per il c. di acquisto è &gt; v. residuo a fine anno precedente?</a:t>
          </a:r>
        </a:p>
      </xdr:txBody>
    </xdr:sp>
    <xdr:clientData/>
  </xdr:twoCellAnchor>
  <xdr:twoCellAnchor>
    <xdr:from>
      <xdr:col>1</xdr:col>
      <xdr:colOff>19050</xdr:colOff>
      <xdr:row>7</xdr:row>
      <xdr:rowOff>63500</xdr:rowOff>
    </xdr:from>
    <xdr:to>
      <xdr:col>3</xdr:col>
      <xdr:colOff>304800</xdr:colOff>
      <xdr:row>10</xdr:row>
      <xdr:rowOff>82550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56E9C87F-4D26-4A9E-81BE-027FA80EE551}"/>
            </a:ext>
          </a:extLst>
        </xdr:cNvPr>
        <xdr:cNvSpPr>
          <a:spLocks noChangeArrowheads="1"/>
        </xdr:cNvSpPr>
      </xdr:nvSpPr>
      <xdr:spPr bwMode="auto">
        <a:xfrm>
          <a:off x="628650" y="1174750"/>
          <a:ext cx="1504950" cy="495300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45720" tIns="36576" rIns="0" bIns="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A</a:t>
          </a:r>
          <a:r>
            <a:rPr lang="it-IT" sz="1000" b="0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= aliquota % x Costo di acquisto</a:t>
          </a:r>
        </a:p>
      </xdr:txBody>
    </xdr:sp>
    <xdr:clientData/>
  </xdr:twoCellAnchor>
  <xdr:twoCellAnchor>
    <xdr:from>
      <xdr:col>8</xdr:col>
      <xdr:colOff>374650</xdr:colOff>
      <xdr:row>6</xdr:row>
      <xdr:rowOff>101600</xdr:rowOff>
    </xdr:from>
    <xdr:to>
      <xdr:col>11</xdr:col>
      <xdr:colOff>254000</xdr:colOff>
      <xdr:row>10</xdr:row>
      <xdr:rowOff>12700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DA13B4C5-43AA-4CDF-A0A5-971AE3D02C49}"/>
            </a:ext>
          </a:extLst>
        </xdr:cNvPr>
        <xdr:cNvSpPr>
          <a:spLocks noChangeArrowheads="1"/>
        </xdr:cNvSpPr>
      </xdr:nvSpPr>
      <xdr:spPr bwMode="auto">
        <a:xfrm>
          <a:off x="5251450" y="1054100"/>
          <a:ext cx="1708150" cy="546100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36576" tIns="36576" rIns="0" bIns="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A</a:t>
          </a:r>
          <a:r>
            <a:rPr lang="it-IT" sz="1000" b="0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= valore residuo al 31/12 dell'anno precedente</a:t>
          </a:r>
        </a:p>
      </xdr:txBody>
    </xdr:sp>
    <xdr:clientData/>
  </xdr:twoCellAnchor>
  <xdr:twoCellAnchor>
    <xdr:from>
      <xdr:col>7</xdr:col>
      <xdr:colOff>393700</xdr:colOff>
      <xdr:row>5</xdr:row>
      <xdr:rowOff>44450</xdr:rowOff>
    </xdr:from>
    <xdr:to>
      <xdr:col>10</xdr:col>
      <xdr:colOff>114300</xdr:colOff>
      <xdr:row>6</xdr:row>
      <xdr:rowOff>101600</xdr:rowOff>
    </xdr:to>
    <xdr:cxnSp macro="">
      <xdr:nvCxnSpPr>
        <xdr:cNvPr id="3080" name="AutoShape 8">
          <a:extLst>
            <a:ext uri="{FF2B5EF4-FFF2-40B4-BE49-F238E27FC236}">
              <a16:creationId xmlns:a16="http://schemas.microsoft.com/office/drawing/2014/main" id="{0116D91B-1641-4C55-B3B2-ADE7E11D3C14}"/>
            </a:ext>
          </a:extLst>
        </xdr:cNvPr>
        <xdr:cNvCxnSpPr>
          <a:cxnSpLocks noChangeShapeType="1"/>
          <a:stCxn id="3073" idx="3"/>
          <a:endCxn id="3077" idx="0"/>
        </xdr:cNvCxnSpPr>
      </xdr:nvCxnSpPr>
      <xdr:spPr bwMode="auto">
        <a:xfrm>
          <a:off x="4660900" y="838200"/>
          <a:ext cx="1549400" cy="215900"/>
        </a:xfrm>
        <a:prstGeom prst="bentConnector2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165100</xdr:colOff>
      <xdr:row>5</xdr:row>
      <xdr:rowOff>44450</xdr:rowOff>
    </xdr:from>
    <xdr:to>
      <xdr:col>3</xdr:col>
      <xdr:colOff>107950</xdr:colOff>
      <xdr:row>7</xdr:row>
      <xdr:rowOff>63500</xdr:rowOff>
    </xdr:to>
    <xdr:cxnSp macro="">
      <xdr:nvCxnSpPr>
        <xdr:cNvPr id="3081" name="AutoShape 9">
          <a:extLst>
            <a:ext uri="{FF2B5EF4-FFF2-40B4-BE49-F238E27FC236}">
              <a16:creationId xmlns:a16="http://schemas.microsoft.com/office/drawing/2014/main" id="{98023E6C-4216-46EA-9CE2-073AB336E317}"/>
            </a:ext>
          </a:extLst>
        </xdr:cNvPr>
        <xdr:cNvCxnSpPr>
          <a:cxnSpLocks noChangeShapeType="1"/>
          <a:stCxn id="3073" idx="1"/>
          <a:endCxn id="3075" idx="0"/>
        </xdr:cNvCxnSpPr>
      </xdr:nvCxnSpPr>
      <xdr:spPr bwMode="auto">
        <a:xfrm rot="10800000" flipV="1">
          <a:off x="1384300" y="838200"/>
          <a:ext cx="552450" cy="336550"/>
        </a:xfrm>
        <a:prstGeom prst="bentConnector2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273050</xdr:colOff>
      <xdr:row>2</xdr:row>
      <xdr:rowOff>38100</xdr:rowOff>
    </xdr:from>
    <xdr:to>
      <xdr:col>8</xdr:col>
      <xdr:colOff>571500</xdr:colOff>
      <xdr:row>4</xdr:row>
      <xdr:rowOff>82550</xdr:rowOff>
    </xdr:to>
    <xdr:sp macro="" textlink="">
      <xdr:nvSpPr>
        <xdr:cNvPr id="3084" name="WordArt 12">
          <a:extLst>
            <a:ext uri="{FF2B5EF4-FFF2-40B4-BE49-F238E27FC236}">
              <a16:creationId xmlns:a16="http://schemas.microsoft.com/office/drawing/2014/main" id="{3530F337-E339-436C-8B59-1BFFA3135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49850" y="361950"/>
          <a:ext cx="298450" cy="368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it-IT" sz="3600" b="1" kern="10" spc="0">
              <a:ln w="9525">
                <a:noFill/>
                <a:round/>
                <a:headEnd/>
                <a:tailEnd/>
              </a:ln>
              <a:solidFill>
                <a:srgbClr val="0070C0"/>
              </a:solidFill>
              <a:effectLst/>
              <a:latin typeface="Abadi" panose="020B0604020104020204" pitchFamily="34" charset="0"/>
            </a:rPr>
            <a:t>SI</a:t>
          </a:r>
        </a:p>
      </xdr:txBody>
    </xdr:sp>
    <xdr:clientData/>
  </xdr:twoCellAnchor>
  <xdr:twoCellAnchor>
    <xdr:from>
      <xdr:col>2</xdr:col>
      <xdr:colOff>165100</xdr:colOff>
      <xdr:row>10</xdr:row>
      <xdr:rowOff>12700</xdr:rowOff>
    </xdr:from>
    <xdr:to>
      <xdr:col>10</xdr:col>
      <xdr:colOff>114300</xdr:colOff>
      <xdr:row>10</xdr:row>
      <xdr:rowOff>82550</xdr:rowOff>
    </xdr:to>
    <xdr:cxnSp macro="">
      <xdr:nvCxnSpPr>
        <xdr:cNvPr id="3086" name="AutoShape 14">
          <a:extLst>
            <a:ext uri="{FF2B5EF4-FFF2-40B4-BE49-F238E27FC236}">
              <a16:creationId xmlns:a16="http://schemas.microsoft.com/office/drawing/2014/main" id="{45EF0590-FE56-44B0-A999-58D921554814}"/>
            </a:ext>
          </a:extLst>
        </xdr:cNvPr>
        <xdr:cNvCxnSpPr>
          <a:cxnSpLocks noChangeShapeType="1"/>
          <a:stCxn id="3077" idx="2"/>
          <a:endCxn id="3075" idx="2"/>
        </xdr:cNvCxnSpPr>
      </xdr:nvCxnSpPr>
      <xdr:spPr bwMode="auto">
        <a:xfrm rot="5400000">
          <a:off x="3762375" y="-777875"/>
          <a:ext cx="69850" cy="4826000"/>
        </a:xfrm>
        <a:prstGeom prst="bentConnector3">
          <a:avLst>
            <a:gd name="adj1" fmla="val 31818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69850</xdr:colOff>
      <xdr:row>14</xdr:row>
      <xdr:rowOff>31750</xdr:rowOff>
    </xdr:from>
    <xdr:to>
      <xdr:col>5</xdr:col>
      <xdr:colOff>279400</xdr:colOff>
      <xdr:row>21</xdr:row>
      <xdr:rowOff>88900</xdr:rowOff>
    </xdr:to>
    <xdr:sp macro="" textlink="">
      <xdr:nvSpPr>
        <xdr:cNvPr id="3087" name="AutoShape 15">
          <a:extLst>
            <a:ext uri="{FF2B5EF4-FFF2-40B4-BE49-F238E27FC236}">
              <a16:creationId xmlns:a16="http://schemas.microsoft.com/office/drawing/2014/main" id="{861E3887-F3E7-4954-824D-7B3BE3E68E36}"/>
            </a:ext>
          </a:extLst>
        </xdr:cNvPr>
        <xdr:cNvSpPr>
          <a:spLocks noChangeArrowheads="1"/>
        </xdr:cNvSpPr>
      </xdr:nvSpPr>
      <xdr:spPr bwMode="auto">
        <a:xfrm>
          <a:off x="1289050" y="2254250"/>
          <a:ext cx="2038350" cy="1168400"/>
        </a:xfrm>
        <a:prstGeom prst="flowChartDecision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32004" rIns="0" bIns="0" anchor="ctr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l'inizio dell'anno - la data di acquisto del bene è &gt; 0?</a:t>
          </a:r>
        </a:p>
      </xdr:txBody>
    </xdr:sp>
    <xdr:clientData/>
  </xdr:twoCellAnchor>
  <xdr:twoCellAnchor>
    <xdr:from>
      <xdr:col>3</xdr:col>
      <xdr:colOff>381000</xdr:colOff>
      <xdr:row>12</xdr:row>
      <xdr:rowOff>25400</xdr:rowOff>
    </xdr:from>
    <xdr:to>
      <xdr:col>3</xdr:col>
      <xdr:colOff>381000</xdr:colOff>
      <xdr:row>14</xdr:row>
      <xdr:rowOff>31750</xdr:rowOff>
    </xdr:to>
    <xdr:cxnSp macro="">
      <xdr:nvCxnSpPr>
        <xdr:cNvPr id="3088" name="AutoShape 16">
          <a:extLst>
            <a:ext uri="{FF2B5EF4-FFF2-40B4-BE49-F238E27FC236}">
              <a16:creationId xmlns:a16="http://schemas.microsoft.com/office/drawing/2014/main" id="{2973884F-21D3-4B7E-8B4A-9D144DD7DA69}"/>
            </a:ext>
          </a:extLst>
        </xdr:cNvPr>
        <xdr:cNvCxnSpPr>
          <a:cxnSpLocks noChangeShapeType="1"/>
          <a:stCxn id="3087" idx="0"/>
        </xdr:cNvCxnSpPr>
      </xdr:nvCxnSpPr>
      <xdr:spPr bwMode="auto">
        <a:xfrm flipV="1">
          <a:off x="2209800" y="1930400"/>
          <a:ext cx="0" cy="323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349250</xdr:colOff>
      <xdr:row>23</xdr:row>
      <xdr:rowOff>88900</xdr:rowOff>
    </xdr:from>
    <xdr:to>
      <xdr:col>4</xdr:col>
      <xdr:colOff>387350</xdr:colOff>
      <xdr:row>27</xdr:row>
      <xdr:rowOff>0</xdr:rowOff>
    </xdr:to>
    <xdr:sp macro="" textlink="">
      <xdr:nvSpPr>
        <xdr:cNvPr id="3089" name="AutoShape 17">
          <a:extLst>
            <a:ext uri="{FF2B5EF4-FFF2-40B4-BE49-F238E27FC236}">
              <a16:creationId xmlns:a16="http://schemas.microsoft.com/office/drawing/2014/main" id="{90666F2A-C61B-4693-A261-DB3EC3A3656C}"/>
            </a:ext>
          </a:extLst>
        </xdr:cNvPr>
        <xdr:cNvSpPr>
          <a:spLocks noChangeArrowheads="1"/>
        </xdr:cNvSpPr>
      </xdr:nvSpPr>
      <xdr:spPr bwMode="auto">
        <a:xfrm>
          <a:off x="349250" y="3740150"/>
          <a:ext cx="2476500" cy="546100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32004" rIns="0" bIns="0" anchor="ctr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Il bene è stato acquistato in passato</a:t>
          </a:r>
          <a:endParaRPr lang="it-IT" sz="1200" b="1" i="0" u="none" strike="noStrike" baseline="0">
            <a:solidFill>
              <a:srgbClr val="00000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B</a:t>
          </a:r>
          <a:r>
            <a:rPr lang="it-IT" sz="1000" b="0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= 100%</a:t>
          </a: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2</xdr:col>
      <xdr:colOff>69850</xdr:colOff>
      <xdr:row>18</xdr:row>
      <xdr:rowOff>6350</xdr:rowOff>
    </xdr:from>
    <xdr:to>
      <xdr:col>2</xdr:col>
      <xdr:colOff>368300</xdr:colOff>
      <xdr:row>23</xdr:row>
      <xdr:rowOff>88900</xdr:rowOff>
    </xdr:to>
    <xdr:cxnSp macro="">
      <xdr:nvCxnSpPr>
        <xdr:cNvPr id="3091" name="AutoShape 19">
          <a:extLst>
            <a:ext uri="{FF2B5EF4-FFF2-40B4-BE49-F238E27FC236}">
              <a16:creationId xmlns:a16="http://schemas.microsoft.com/office/drawing/2014/main" id="{EB0BEB67-15F0-4ABD-B7CF-3D0EE8010106}"/>
            </a:ext>
          </a:extLst>
        </xdr:cNvPr>
        <xdr:cNvCxnSpPr>
          <a:cxnSpLocks noChangeShapeType="1"/>
          <a:stCxn id="3087" idx="1"/>
          <a:endCxn id="3089" idx="0"/>
        </xdr:cNvCxnSpPr>
      </xdr:nvCxnSpPr>
      <xdr:spPr bwMode="auto">
        <a:xfrm rot="10800000" flipH="1" flipV="1">
          <a:off x="1289050" y="2863850"/>
          <a:ext cx="298450" cy="876300"/>
        </a:xfrm>
        <a:prstGeom prst="bentConnector4">
          <a:avLst>
            <a:gd name="adj1" fmla="val -51065"/>
            <a:gd name="adj2" fmla="val 8265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368300</xdr:colOff>
      <xdr:row>27</xdr:row>
      <xdr:rowOff>0</xdr:rowOff>
    </xdr:from>
    <xdr:to>
      <xdr:col>4</xdr:col>
      <xdr:colOff>400050</xdr:colOff>
      <xdr:row>29</xdr:row>
      <xdr:rowOff>57150</xdr:rowOff>
    </xdr:to>
    <xdr:cxnSp macro="">
      <xdr:nvCxnSpPr>
        <xdr:cNvPr id="3094" name="AutoShape 22">
          <a:extLst>
            <a:ext uri="{FF2B5EF4-FFF2-40B4-BE49-F238E27FC236}">
              <a16:creationId xmlns:a16="http://schemas.microsoft.com/office/drawing/2014/main" id="{10C1EA0B-F37E-4356-BCB8-1267D226D122}"/>
            </a:ext>
          </a:extLst>
        </xdr:cNvPr>
        <xdr:cNvCxnSpPr>
          <a:cxnSpLocks noChangeShapeType="1"/>
          <a:stCxn id="3103" idx="1"/>
          <a:endCxn id="3089" idx="2"/>
        </xdr:cNvCxnSpPr>
      </xdr:nvCxnSpPr>
      <xdr:spPr bwMode="auto">
        <a:xfrm rot="10800000">
          <a:off x="1587500" y="4286250"/>
          <a:ext cx="1250950" cy="374650"/>
        </a:xfrm>
        <a:prstGeom prst="bentConnector2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279400</xdr:colOff>
      <xdr:row>15</xdr:row>
      <xdr:rowOff>76200</xdr:rowOff>
    </xdr:from>
    <xdr:to>
      <xdr:col>9</xdr:col>
      <xdr:colOff>349250</xdr:colOff>
      <xdr:row>18</xdr:row>
      <xdr:rowOff>6350</xdr:rowOff>
    </xdr:to>
    <xdr:cxnSp macro="">
      <xdr:nvCxnSpPr>
        <xdr:cNvPr id="3095" name="AutoShape 23">
          <a:extLst>
            <a:ext uri="{FF2B5EF4-FFF2-40B4-BE49-F238E27FC236}">
              <a16:creationId xmlns:a16="http://schemas.microsoft.com/office/drawing/2014/main" id="{2D3F3F98-E6A3-4A19-B50F-21DAD82AD651}"/>
            </a:ext>
          </a:extLst>
        </xdr:cNvPr>
        <xdr:cNvCxnSpPr>
          <a:cxnSpLocks noChangeShapeType="1"/>
          <a:stCxn id="3087" idx="3"/>
          <a:endCxn id="3096" idx="0"/>
        </xdr:cNvCxnSpPr>
      </xdr:nvCxnSpPr>
      <xdr:spPr bwMode="auto">
        <a:xfrm flipV="1">
          <a:off x="3327400" y="2457450"/>
          <a:ext cx="2508250" cy="406400"/>
        </a:xfrm>
        <a:prstGeom prst="bentConnector4">
          <a:avLst>
            <a:gd name="adj1" fmla="val 29588"/>
            <a:gd name="adj2" fmla="val 16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63500</xdr:colOff>
      <xdr:row>15</xdr:row>
      <xdr:rowOff>76200</xdr:rowOff>
    </xdr:from>
    <xdr:to>
      <xdr:col>11</xdr:col>
      <xdr:colOff>228600</xdr:colOff>
      <xdr:row>24</xdr:row>
      <xdr:rowOff>95250</xdr:rowOff>
    </xdr:to>
    <xdr:sp macro="" textlink="">
      <xdr:nvSpPr>
        <xdr:cNvPr id="3096" name="AutoShape 24">
          <a:extLst>
            <a:ext uri="{FF2B5EF4-FFF2-40B4-BE49-F238E27FC236}">
              <a16:creationId xmlns:a16="http://schemas.microsoft.com/office/drawing/2014/main" id="{6C91E8B0-730F-49B6-8525-54ADBB12CBAD}"/>
            </a:ext>
          </a:extLst>
        </xdr:cNvPr>
        <xdr:cNvSpPr>
          <a:spLocks noChangeArrowheads="1"/>
        </xdr:cNvSpPr>
      </xdr:nvSpPr>
      <xdr:spPr bwMode="auto">
        <a:xfrm>
          <a:off x="4940300" y="2457450"/>
          <a:ext cx="1993900" cy="1447800"/>
        </a:xfrm>
        <a:prstGeom prst="diamond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32004" rIns="0" bIns="0" anchor="ctr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Acquisto durante l'anno; quale metodo vuoi usare?</a:t>
          </a:r>
        </a:p>
      </xdr:txBody>
    </xdr:sp>
    <xdr:clientData/>
  </xdr:twoCellAnchor>
  <xdr:twoCellAnchor>
    <xdr:from>
      <xdr:col>7</xdr:col>
      <xdr:colOff>31750</xdr:colOff>
      <xdr:row>20</xdr:row>
      <xdr:rowOff>31750</xdr:rowOff>
    </xdr:from>
    <xdr:to>
      <xdr:col>8</xdr:col>
      <xdr:colOff>63500</xdr:colOff>
      <xdr:row>22</xdr:row>
      <xdr:rowOff>25400</xdr:rowOff>
    </xdr:to>
    <xdr:cxnSp macro="">
      <xdr:nvCxnSpPr>
        <xdr:cNvPr id="3097" name="AutoShape 25">
          <a:extLst>
            <a:ext uri="{FF2B5EF4-FFF2-40B4-BE49-F238E27FC236}">
              <a16:creationId xmlns:a16="http://schemas.microsoft.com/office/drawing/2014/main" id="{C7E518C0-724A-4C18-AB1A-8698E17FC469}"/>
            </a:ext>
          </a:extLst>
        </xdr:cNvPr>
        <xdr:cNvCxnSpPr>
          <a:cxnSpLocks noChangeShapeType="1"/>
          <a:stCxn id="3096" idx="1"/>
          <a:endCxn id="3099" idx="0"/>
        </xdr:cNvCxnSpPr>
      </xdr:nvCxnSpPr>
      <xdr:spPr bwMode="auto">
        <a:xfrm rot="10800000" flipV="1">
          <a:off x="4298950" y="3206750"/>
          <a:ext cx="641350" cy="311150"/>
        </a:xfrm>
        <a:prstGeom prst="bentConnector2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504825</xdr:colOff>
      <xdr:row>14</xdr:row>
      <xdr:rowOff>44450</xdr:rowOff>
    </xdr:from>
    <xdr:to>
      <xdr:col>9</xdr:col>
      <xdr:colOff>85725</xdr:colOff>
      <xdr:row>17</xdr:row>
      <xdr:rowOff>47625</xdr:rowOff>
    </xdr:to>
    <xdr:sp macro="" textlink="">
      <xdr:nvSpPr>
        <xdr:cNvPr id="3098" name="WordArt 26">
          <a:extLst>
            <a:ext uri="{FF2B5EF4-FFF2-40B4-BE49-F238E27FC236}">
              <a16:creationId xmlns:a16="http://schemas.microsoft.com/office/drawing/2014/main" id="{10903A97-2225-4967-8331-3F96AC3AEF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62425" y="2311400"/>
          <a:ext cx="1409700" cy="4889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it-IT" sz="1200" b="1" kern="10" spc="0">
              <a:ln w="9525">
                <a:noFill/>
                <a:round/>
                <a:headEnd/>
                <a:tailEnd/>
              </a:ln>
              <a:solidFill>
                <a:srgbClr val="0070C0"/>
              </a:solidFill>
              <a:effectLst/>
              <a:latin typeface="Abadi" panose="020B0604020104020204" pitchFamily="34" charset="0"/>
            </a:rPr>
            <a:t>Civilistico</a:t>
          </a:r>
        </a:p>
      </xdr:txBody>
    </xdr:sp>
    <xdr:clientData/>
  </xdr:twoCellAnchor>
  <xdr:twoCellAnchor>
    <xdr:from>
      <xdr:col>6</xdr:col>
      <xdr:colOff>215900</xdr:colOff>
      <xdr:row>22</xdr:row>
      <xdr:rowOff>25400</xdr:rowOff>
    </xdr:from>
    <xdr:to>
      <xdr:col>7</xdr:col>
      <xdr:colOff>254000</xdr:colOff>
      <xdr:row>24</xdr:row>
      <xdr:rowOff>25400</xdr:rowOff>
    </xdr:to>
    <xdr:sp macro="" textlink="">
      <xdr:nvSpPr>
        <xdr:cNvPr id="3099" name="AutoShape 27">
          <a:extLst>
            <a:ext uri="{FF2B5EF4-FFF2-40B4-BE49-F238E27FC236}">
              <a16:creationId xmlns:a16="http://schemas.microsoft.com/office/drawing/2014/main" id="{9A1E24CF-5CB8-4B10-A8CF-0538A12450A1}"/>
            </a:ext>
          </a:extLst>
        </xdr:cNvPr>
        <xdr:cNvSpPr>
          <a:spLocks noChangeArrowheads="1"/>
        </xdr:cNvSpPr>
      </xdr:nvSpPr>
      <xdr:spPr bwMode="auto">
        <a:xfrm>
          <a:off x="3873500" y="3517900"/>
          <a:ext cx="647700" cy="317500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36576" tIns="36576" rIns="0" bIns="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B</a:t>
          </a:r>
          <a:r>
            <a:rPr lang="it-IT" sz="1000" b="0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= 50%</a:t>
          </a:r>
        </a:p>
      </xdr:txBody>
    </xdr:sp>
    <xdr:clientData/>
  </xdr:twoCellAnchor>
  <xdr:twoCellAnchor>
    <xdr:from>
      <xdr:col>11</xdr:col>
      <xdr:colOff>228600</xdr:colOff>
      <xdr:row>20</xdr:row>
      <xdr:rowOff>31750</xdr:rowOff>
    </xdr:from>
    <xdr:to>
      <xdr:col>12</xdr:col>
      <xdr:colOff>133350</xdr:colOff>
      <xdr:row>23</xdr:row>
      <xdr:rowOff>63500</xdr:rowOff>
    </xdr:to>
    <xdr:cxnSp macro="">
      <xdr:nvCxnSpPr>
        <xdr:cNvPr id="3100" name="AutoShape 28">
          <a:extLst>
            <a:ext uri="{FF2B5EF4-FFF2-40B4-BE49-F238E27FC236}">
              <a16:creationId xmlns:a16="http://schemas.microsoft.com/office/drawing/2014/main" id="{E985CDEE-4009-4FCF-8922-2EBBE3BA1CDB}"/>
            </a:ext>
          </a:extLst>
        </xdr:cNvPr>
        <xdr:cNvCxnSpPr>
          <a:cxnSpLocks noChangeShapeType="1"/>
          <a:stCxn id="3102" idx="0"/>
          <a:endCxn id="3096" idx="3"/>
        </xdr:cNvCxnSpPr>
      </xdr:nvCxnSpPr>
      <xdr:spPr bwMode="auto">
        <a:xfrm rot="5400000" flipH="1">
          <a:off x="6937375" y="3203575"/>
          <a:ext cx="508000" cy="514350"/>
        </a:xfrm>
        <a:prstGeom prst="bentConnector2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244475</xdr:colOff>
      <xdr:row>14</xdr:row>
      <xdr:rowOff>46567</xdr:rowOff>
    </xdr:from>
    <xdr:to>
      <xdr:col>12</xdr:col>
      <xdr:colOff>438316</xdr:colOff>
      <xdr:row>17</xdr:row>
      <xdr:rowOff>47625</xdr:rowOff>
    </xdr:to>
    <xdr:sp macro="" textlink="">
      <xdr:nvSpPr>
        <xdr:cNvPr id="3101" name="WordArt 29">
          <a:extLst>
            <a:ext uri="{FF2B5EF4-FFF2-40B4-BE49-F238E27FC236}">
              <a16:creationId xmlns:a16="http://schemas.microsoft.com/office/drawing/2014/main" id="{54943128-CDD0-498A-B85D-5A262798C4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40475" y="2313517"/>
          <a:ext cx="1413041" cy="486833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it-IT" sz="1200" b="1" kern="10" spc="0">
              <a:ln w="9525">
                <a:noFill/>
                <a:round/>
                <a:headEnd/>
                <a:tailEnd/>
              </a:ln>
              <a:solidFill>
                <a:srgbClr val="0070C0"/>
              </a:solidFill>
              <a:effectLst/>
              <a:latin typeface="Abadi" panose="020B0604020104020204" pitchFamily="34" charset="0"/>
            </a:rPr>
            <a:t>Gestionale</a:t>
          </a:r>
        </a:p>
      </xdr:txBody>
    </xdr:sp>
    <xdr:clientData/>
  </xdr:twoCellAnchor>
  <xdr:twoCellAnchor>
    <xdr:from>
      <xdr:col>10</xdr:col>
      <xdr:colOff>393700</xdr:colOff>
      <xdr:row>23</xdr:row>
      <xdr:rowOff>63500</xdr:rowOff>
    </xdr:from>
    <xdr:to>
      <xdr:col>13</xdr:col>
      <xdr:colOff>273050</xdr:colOff>
      <xdr:row>26</xdr:row>
      <xdr:rowOff>82550</xdr:rowOff>
    </xdr:to>
    <xdr:sp macro="" textlink="">
      <xdr:nvSpPr>
        <xdr:cNvPr id="3102" name="AutoShape 30">
          <a:extLst>
            <a:ext uri="{FF2B5EF4-FFF2-40B4-BE49-F238E27FC236}">
              <a16:creationId xmlns:a16="http://schemas.microsoft.com/office/drawing/2014/main" id="{AB0ABBE4-2CF3-402E-A9C1-02EA17C9301E}"/>
            </a:ext>
          </a:extLst>
        </xdr:cNvPr>
        <xdr:cNvSpPr>
          <a:spLocks noChangeArrowheads="1"/>
        </xdr:cNvSpPr>
      </xdr:nvSpPr>
      <xdr:spPr bwMode="auto">
        <a:xfrm>
          <a:off x="6489700" y="3714750"/>
          <a:ext cx="1708150" cy="495300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36576" tIns="36576" rIns="0" bIns="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B</a:t>
          </a:r>
          <a:r>
            <a:rPr lang="it-IT" sz="1000" b="0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= (data di analisi - data di acquisto) / tot gg. anno</a:t>
          </a:r>
        </a:p>
      </xdr:txBody>
    </xdr:sp>
    <xdr:clientData/>
  </xdr:twoCellAnchor>
  <xdr:twoCellAnchor>
    <xdr:from>
      <xdr:col>4</xdr:col>
      <xdr:colOff>400050</xdr:colOff>
      <xdr:row>27</xdr:row>
      <xdr:rowOff>101600</xdr:rowOff>
    </xdr:from>
    <xdr:to>
      <xdr:col>9</xdr:col>
      <xdr:colOff>69850</xdr:colOff>
      <xdr:row>31</xdr:row>
      <xdr:rowOff>12700</xdr:rowOff>
    </xdr:to>
    <xdr:sp macro="" textlink="">
      <xdr:nvSpPr>
        <xdr:cNvPr id="3103" name="AutoShape 31">
          <a:extLst>
            <a:ext uri="{FF2B5EF4-FFF2-40B4-BE49-F238E27FC236}">
              <a16:creationId xmlns:a16="http://schemas.microsoft.com/office/drawing/2014/main" id="{BDFEA34F-27EE-41F1-922F-530426C5AC41}"/>
            </a:ext>
          </a:extLst>
        </xdr:cNvPr>
        <xdr:cNvSpPr>
          <a:spLocks noChangeArrowheads="1"/>
        </xdr:cNvSpPr>
      </xdr:nvSpPr>
      <xdr:spPr bwMode="auto">
        <a:xfrm>
          <a:off x="2838450" y="4387850"/>
          <a:ext cx="2717800" cy="546100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36576" tIns="36576" rIns="36576" bIns="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COSTO DI AMMORTAMENTO = </a:t>
          </a:r>
        </a:p>
        <a:p>
          <a:pPr algn="ctr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A x B</a:t>
          </a:r>
        </a:p>
      </xdr:txBody>
    </xdr:sp>
    <xdr:clientData/>
  </xdr:twoCellAnchor>
  <xdr:twoCellAnchor>
    <xdr:from>
      <xdr:col>9</xdr:col>
      <xdr:colOff>69850</xdr:colOff>
      <xdr:row>26</xdr:row>
      <xdr:rowOff>82550</xdr:rowOff>
    </xdr:from>
    <xdr:to>
      <xdr:col>12</xdr:col>
      <xdr:colOff>133350</xdr:colOff>
      <xdr:row>29</xdr:row>
      <xdr:rowOff>57150</xdr:rowOff>
    </xdr:to>
    <xdr:cxnSp macro="">
      <xdr:nvCxnSpPr>
        <xdr:cNvPr id="3105" name="AutoShape 33">
          <a:extLst>
            <a:ext uri="{FF2B5EF4-FFF2-40B4-BE49-F238E27FC236}">
              <a16:creationId xmlns:a16="http://schemas.microsoft.com/office/drawing/2014/main" id="{C6BFFEA0-C864-42F3-915C-315F990B3C03}"/>
            </a:ext>
          </a:extLst>
        </xdr:cNvPr>
        <xdr:cNvCxnSpPr>
          <a:cxnSpLocks noChangeShapeType="1"/>
          <a:stCxn id="3102" idx="2"/>
          <a:endCxn id="3103" idx="3"/>
        </xdr:cNvCxnSpPr>
      </xdr:nvCxnSpPr>
      <xdr:spPr bwMode="auto">
        <a:xfrm rot="5400000">
          <a:off x="6276975" y="3489325"/>
          <a:ext cx="450850" cy="1892300"/>
        </a:xfrm>
        <a:prstGeom prst="bentConnector2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342900</xdr:colOff>
      <xdr:row>14</xdr:row>
      <xdr:rowOff>95250</xdr:rowOff>
    </xdr:from>
    <xdr:to>
      <xdr:col>6</xdr:col>
      <xdr:colOff>26119</xdr:colOff>
      <xdr:row>17</xdr:row>
      <xdr:rowOff>38100</xdr:rowOff>
    </xdr:to>
    <xdr:sp macro="" textlink="">
      <xdr:nvSpPr>
        <xdr:cNvPr id="3106" name="WordArt 34">
          <a:extLst>
            <a:ext uri="{FF2B5EF4-FFF2-40B4-BE49-F238E27FC236}">
              <a16:creationId xmlns:a16="http://schemas.microsoft.com/office/drawing/2014/main" id="{D332519E-4A12-4CBF-93A8-D0CB4D45CA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90900" y="2362200"/>
          <a:ext cx="292819" cy="4286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it-IT" sz="3600" b="1" kern="10" spc="0">
              <a:ln w="9525">
                <a:noFill/>
                <a:round/>
                <a:headEnd/>
                <a:tailEnd/>
              </a:ln>
              <a:solidFill>
                <a:srgbClr val="0070C0"/>
              </a:solidFill>
              <a:effectLst/>
              <a:latin typeface="Abadi" panose="020B0604020104020204" pitchFamily="34" charset="0"/>
            </a:rPr>
            <a:t>SI</a:t>
          </a:r>
        </a:p>
      </xdr:txBody>
    </xdr:sp>
    <xdr:clientData/>
  </xdr:twoCellAnchor>
  <xdr:twoCellAnchor>
    <xdr:from>
      <xdr:col>2</xdr:col>
      <xdr:colOff>273050</xdr:colOff>
      <xdr:row>2</xdr:row>
      <xdr:rowOff>63500</xdr:rowOff>
    </xdr:from>
    <xdr:to>
      <xdr:col>3</xdr:col>
      <xdr:colOff>44450</xdr:colOff>
      <xdr:row>5</xdr:row>
      <xdr:rowOff>6350</xdr:rowOff>
    </xdr:to>
    <xdr:sp macro="" textlink="">
      <xdr:nvSpPr>
        <xdr:cNvPr id="3107" name="WordArt 35">
          <a:extLst>
            <a:ext uri="{FF2B5EF4-FFF2-40B4-BE49-F238E27FC236}">
              <a16:creationId xmlns:a16="http://schemas.microsoft.com/office/drawing/2014/main" id="{21E3D539-5320-49CB-AF79-38329BCEAA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92250" y="381000"/>
          <a:ext cx="381000" cy="4191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it-IT" sz="3600" b="1" kern="10" spc="0">
              <a:ln w="9525">
                <a:noFill/>
                <a:round/>
                <a:headEnd/>
                <a:tailEnd/>
              </a:ln>
              <a:solidFill>
                <a:srgbClr val="0070C0"/>
              </a:solidFill>
              <a:effectLst/>
              <a:latin typeface="Abadi" panose="020B0604020104020204" pitchFamily="34" charset="0"/>
            </a:rPr>
            <a:t>NO</a:t>
          </a:r>
        </a:p>
      </xdr:txBody>
    </xdr:sp>
    <xdr:clientData/>
  </xdr:twoCellAnchor>
  <xdr:twoCellAnchor>
    <xdr:from>
      <xdr:col>1</xdr:col>
      <xdr:colOff>400050</xdr:colOff>
      <xdr:row>14</xdr:row>
      <xdr:rowOff>57150</xdr:rowOff>
    </xdr:from>
    <xdr:to>
      <xdr:col>2</xdr:col>
      <xdr:colOff>171450</xdr:colOff>
      <xdr:row>17</xdr:row>
      <xdr:rowOff>0</xdr:rowOff>
    </xdr:to>
    <xdr:sp macro="" textlink="">
      <xdr:nvSpPr>
        <xdr:cNvPr id="3108" name="WordArt 36">
          <a:extLst>
            <a:ext uri="{FF2B5EF4-FFF2-40B4-BE49-F238E27FC236}">
              <a16:creationId xmlns:a16="http://schemas.microsoft.com/office/drawing/2014/main" id="{DB8F463C-2F40-42C6-9C9E-8086C1BC3D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09650" y="2279650"/>
          <a:ext cx="381000" cy="4191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it-IT" sz="3600" b="1" kern="10" spc="0">
              <a:ln w="9525">
                <a:noFill/>
                <a:round/>
                <a:headEnd/>
                <a:tailEnd/>
              </a:ln>
              <a:solidFill>
                <a:srgbClr val="0070C0"/>
              </a:solidFill>
              <a:effectLst/>
              <a:latin typeface="Abadi" panose="020B0604020104020204" pitchFamily="34" charset="0"/>
            </a:rPr>
            <a:t>NO</a:t>
          </a:r>
        </a:p>
      </xdr:txBody>
    </xdr:sp>
    <xdr:clientData/>
  </xdr:twoCellAnchor>
  <xdr:twoCellAnchor>
    <xdr:from>
      <xdr:col>7</xdr:col>
      <xdr:colOff>31750</xdr:colOff>
      <xdr:row>24</xdr:row>
      <xdr:rowOff>25400</xdr:rowOff>
    </xdr:from>
    <xdr:to>
      <xdr:col>7</xdr:col>
      <xdr:colOff>31750</xdr:colOff>
      <xdr:row>27</xdr:row>
      <xdr:rowOff>101600</xdr:rowOff>
    </xdr:to>
    <xdr:cxnSp macro="">
      <xdr:nvCxnSpPr>
        <xdr:cNvPr id="3109" name="AutoShape 37">
          <a:extLst>
            <a:ext uri="{FF2B5EF4-FFF2-40B4-BE49-F238E27FC236}">
              <a16:creationId xmlns:a16="http://schemas.microsoft.com/office/drawing/2014/main" id="{F7EBEB5E-8F0C-4DA4-BFE1-CE09DF2C2D67}"/>
            </a:ext>
          </a:extLst>
        </xdr:cNvPr>
        <xdr:cNvCxnSpPr>
          <a:cxnSpLocks noChangeShapeType="1"/>
          <a:stCxn id="3099" idx="2"/>
          <a:endCxn id="3103" idx="0"/>
        </xdr:cNvCxnSpPr>
      </xdr:nvCxnSpPr>
      <xdr:spPr bwMode="auto">
        <a:xfrm>
          <a:off x="4298950" y="3835400"/>
          <a:ext cx="0" cy="5524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ColWidth="9.1796875" defaultRowHeight="13.5" x14ac:dyDescent="0.35"/>
  <cols>
    <col min="1" max="16384" width="9.1796875" style="45"/>
  </cols>
  <sheetData>
    <row r="1" spans="1:1" x14ac:dyDescent="0.35">
      <c r="A1" s="45" t="s">
        <v>91</v>
      </c>
    </row>
  </sheetData>
  <phoneticPr fontId="1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="175" zoomScaleNormal="175" workbookViewId="0">
      <selection activeCell="I2" sqref="I2"/>
    </sheetView>
  </sheetViews>
  <sheetFormatPr defaultColWidth="9.1796875" defaultRowHeight="12.5" x14ac:dyDescent="0.25"/>
  <cols>
    <col min="1" max="1" width="11.26953125" style="1" bestFit="1" customWidth="1"/>
    <col min="2" max="2" width="21.7265625" style="1" customWidth="1"/>
    <col min="3" max="3" width="5" style="1" bestFit="1" customWidth="1"/>
    <col min="4" max="4" width="4.453125" style="1" customWidth="1"/>
    <col min="5" max="5" width="9.26953125" style="1" bestFit="1" customWidth="1"/>
    <col min="6" max="6" width="10.26953125" style="1" bestFit="1" customWidth="1"/>
    <col min="7" max="7" width="24.81640625" style="1" bestFit="1" customWidth="1"/>
    <col min="8" max="8" width="9.1796875" style="1" bestFit="1"/>
    <col min="9" max="9" width="13.81640625" style="1" bestFit="1" customWidth="1"/>
    <col min="10" max="10" width="15" style="1" bestFit="1" customWidth="1"/>
    <col min="11" max="11" width="12" style="1" bestFit="1" customWidth="1"/>
    <col min="12" max="12" width="9.54296875" style="1" bestFit="1" customWidth="1"/>
    <col min="13" max="16384" width="9.1796875" style="1"/>
  </cols>
  <sheetData>
    <row r="1" spans="1:11" x14ac:dyDescent="0.25">
      <c r="A1" s="1" t="s">
        <v>83</v>
      </c>
      <c r="B1" s="1" t="s">
        <v>24</v>
      </c>
      <c r="E1" s="8" t="s">
        <v>80</v>
      </c>
      <c r="F1" s="3" t="s">
        <v>26</v>
      </c>
      <c r="G1" s="3" t="s">
        <v>28</v>
      </c>
      <c r="H1" s="3" t="s">
        <v>32</v>
      </c>
      <c r="I1" s="3" t="s">
        <v>33</v>
      </c>
      <c r="J1" s="3" t="s">
        <v>34</v>
      </c>
      <c r="K1" s="3" t="s">
        <v>35</v>
      </c>
    </row>
    <row r="2" spans="1:11" x14ac:dyDescent="0.25">
      <c r="A2" s="4">
        <v>45658</v>
      </c>
      <c r="B2" s="4">
        <v>45869</v>
      </c>
      <c r="E2" s="11" t="str">
        <f>"M"&amp;ROW()-1</f>
        <v>M1</v>
      </c>
      <c r="F2" s="2" t="s">
        <v>22</v>
      </c>
      <c r="G2" s="1" t="s">
        <v>8</v>
      </c>
      <c r="H2" s="38">
        <v>2.5000000000000001E-2</v>
      </c>
      <c r="I2" s="9">
        <f>H2*ggytd/gganno</f>
        <v>1.4520547945205482E-2</v>
      </c>
      <c r="J2" s="39">
        <v>0.03</v>
      </c>
      <c r="K2" s="9">
        <f t="shared" ref="K2:K21" si="0">J2*ggytd/gganno</f>
        <v>1.7424657534246574E-2</v>
      </c>
    </row>
    <row r="3" spans="1:11" x14ac:dyDescent="0.25">
      <c r="E3" s="11" t="str">
        <f t="shared" ref="E3:E21" si="1">"M"&amp;ROW()-1</f>
        <v>M2</v>
      </c>
      <c r="F3" s="2" t="s">
        <v>22</v>
      </c>
      <c r="G3" s="1" t="s">
        <v>9</v>
      </c>
      <c r="H3" s="38">
        <v>0.05</v>
      </c>
      <c r="I3" s="9">
        <f t="shared" ref="I2:I21" si="2">H3*ggytd/gganno</f>
        <v>2.9041095890410963E-2</v>
      </c>
      <c r="J3" s="39">
        <v>7.0000000000000007E-2</v>
      </c>
      <c r="K3" s="9">
        <f t="shared" si="0"/>
        <v>4.0657534246575346E-2</v>
      </c>
    </row>
    <row r="4" spans="1:11" x14ac:dyDescent="0.25">
      <c r="B4" s="6" t="s">
        <v>25</v>
      </c>
      <c r="C4" s="7">
        <f>B2-A2+1</f>
        <v>212</v>
      </c>
      <c r="D4" s="7"/>
      <c r="E4" s="11" t="str">
        <f t="shared" si="1"/>
        <v>M3</v>
      </c>
      <c r="F4" s="2" t="s">
        <v>22</v>
      </c>
      <c r="G4" s="1" t="s">
        <v>11</v>
      </c>
      <c r="H4" s="38">
        <v>6.6699999999999995E-2</v>
      </c>
      <c r="I4" s="9">
        <f t="shared" si="2"/>
        <v>3.874082191780822E-2</v>
      </c>
      <c r="J4" s="39">
        <v>0.09</v>
      </c>
      <c r="K4" s="9">
        <f t="shared" si="0"/>
        <v>5.2273972602739721E-2</v>
      </c>
    </row>
    <row r="5" spans="1:11" x14ac:dyDescent="0.25">
      <c r="B5" s="6" t="s">
        <v>29</v>
      </c>
      <c r="C5" s="7">
        <f>EOMONTH(inizio,11)-inizio+1</f>
        <v>365</v>
      </c>
      <c r="D5" s="7"/>
      <c r="E5" s="11" t="str">
        <f t="shared" si="1"/>
        <v>M4</v>
      </c>
      <c r="F5" s="2" t="s">
        <v>22</v>
      </c>
      <c r="G5" s="1" t="s">
        <v>12</v>
      </c>
      <c r="H5" s="38">
        <v>0.25</v>
      </c>
      <c r="I5" s="9">
        <f t="shared" si="2"/>
        <v>0.14520547945205478</v>
      </c>
      <c r="J5" s="39">
        <v>0.33</v>
      </c>
      <c r="K5" s="9">
        <f t="shared" si="0"/>
        <v>0.19167123287671234</v>
      </c>
    </row>
    <row r="6" spans="1:11" x14ac:dyDescent="0.25">
      <c r="E6" s="11" t="str">
        <f t="shared" si="1"/>
        <v>M5</v>
      </c>
      <c r="F6" s="2" t="s">
        <v>22</v>
      </c>
      <c r="G6" s="1" t="s">
        <v>13</v>
      </c>
      <c r="H6" s="38">
        <v>8.3299999999999999E-2</v>
      </c>
      <c r="I6" s="9">
        <f t="shared" si="2"/>
        <v>4.8382465753424662E-2</v>
      </c>
      <c r="J6" s="39">
        <v>0.11</v>
      </c>
      <c r="K6" s="9">
        <f t="shared" si="0"/>
        <v>6.3890410958904104E-2</v>
      </c>
    </row>
    <row r="7" spans="1:11" x14ac:dyDescent="0.25">
      <c r="B7" s="6" t="s">
        <v>86</v>
      </c>
      <c r="C7" s="3" t="s">
        <v>92</v>
      </c>
      <c r="E7" s="11" t="str">
        <f t="shared" si="1"/>
        <v>M6</v>
      </c>
      <c r="F7" s="2" t="s">
        <v>22</v>
      </c>
      <c r="G7" s="1" t="s">
        <v>14</v>
      </c>
      <c r="H7" s="38">
        <v>6.6699999999999995E-2</v>
      </c>
      <c r="I7" s="9">
        <f t="shared" si="2"/>
        <v>3.874082191780822E-2</v>
      </c>
      <c r="J7" s="39">
        <v>0.09</v>
      </c>
      <c r="K7" s="9">
        <f t="shared" si="0"/>
        <v>5.2273972602739721E-2</v>
      </c>
    </row>
    <row r="8" spans="1:11" x14ac:dyDescent="0.25">
      <c r="E8" s="11" t="str">
        <f t="shared" si="1"/>
        <v>M7</v>
      </c>
      <c r="F8" s="2" t="s">
        <v>22</v>
      </c>
      <c r="G8" s="1" t="s">
        <v>15</v>
      </c>
      <c r="H8" s="38">
        <v>0.16669999999999999</v>
      </c>
      <c r="I8" s="9">
        <f t="shared" si="2"/>
        <v>9.6823013698630125E-2</v>
      </c>
      <c r="J8" s="39">
        <v>0.22</v>
      </c>
      <c r="K8" s="9">
        <f t="shared" si="0"/>
        <v>0.12778082191780821</v>
      </c>
    </row>
    <row r="9" spans="1:11" x14ac:dyDescent="0.25">
      <c r="E9" s="11" t="str">
        <f t="shared" si="1"/>
        <v>M8</v>
      </c>
      <c r="F9" s="2" t="s">
        <v>22</v>
      </c>
      <c r="G9" s="1" t="s">
        <v>16</v>
      </c>
      <c r="H9" s="38">
        <v>0.1</v>
      </c>
      <c r="I9" s="9">
        <f t="shared" si="2"/>
        <v>5.8082191780821926E-2</v>
      </c>
      <c r="J9" s="39">
        <v>0.13</v>
      </c>
      <c r="K9" s="9">
        <f t="shared" si="0"/>
        <v>7.55068493150685E-2</v>
      </c>
    </row>
    <row r="10" spans="1:11" x14ac:dyDescent="0.25">
      <c r="B10" s="11"/>
      <c r="E10" s="11" t="str">
        <f t="shared" si="1"/>
        <v>M9</v>
      </c>
      <c r="F10" s="2" t="s">
        <v>22</v>
      </c>
      <c r="G10" s="1" t="s">
        <v>17</v>
      </c>
      <c r="H10" s="38">
        <v>8.3299999999999999E-2</v>
      </c>
      <c r="I10" s="9">
        <f t="shared" si="2"/>
        <v>4.8382465753424662E-2</v>
      </c>
      <c r="J10" s="39">
        <v>0.11</v>
      </c>
      <c r="K10" s="9">
        <f t="shared" si="0"/>
        <v>6.3890410958904104E-2</v>
      </c>
    </row>
    <row r="11" spans="1:11" x14ac:dyDescent="0.25">
      <c r="E11" s="11" t="str">
        <f t="shared" si="1"/>
        <v>M10</v>
      </c>
      <c r="F11" s="2" t="s">
        <v>22</v>
      </c>
      <c r="G11" s="1" t="s">
        <v>18</v>
      </c>
      <c r="H11" s="38">
        <v>0.2</v>
      </c>
      <c r="I11" s="9">
        <f t="shared" si="2"/>
        <v>0.11616438356164385</v>
      </c>
      <c r="J11" s="39">
        <v>0.26</v>
      </c>
      <c r="K11" s="9">
        <f t="shared" si="0"/>
        <v>0.151013698630137</v>
      </c>
    </row>
    <row r="12" spans="1:11" x14ac:dyDescent="0.25">
      <c r="E12" s="11" t="str">
        <f t="shared" si="1"/>
        <v>M11</v>
      </c>
      <c r="F12" s="2" t="s">
        <v>22</v>
      </c>
      <c r="G12" s="1" t="s">
        <v>19</v>
      </c>
      <c r="H12" s="38">
        <v>6.6699999999999995E-2</v>
      </c>
      <c r="I12" s="9">
        <f t="shared" si="2"/>
        <v>3.874082191780822E-2</v>
      </c>
      <c r="J12" s="39">
        <v>0.09</v>
      </c>
      <c r="K12" s="9">
        <f t="shared" si="0"/>
        <v>5.2273972602739721E-2</v>
      </c>
    </row>
    <row r="13" spans="1:11" x14ac:dyDescent="0.25">
      <c r="E13" s="11" t="str">
        <f t="shared" si="1"/>
        <v>M12</v>
      </c>
      <c r="F13" s="2" t="s">
        <v>22</v>
      </c>
      <c r="G13" s="1" t="s">
        <v>20</v>
      </c>
      <c r="H13" s="38">
        <v>0.05</v>
      </c>
      <c r="I13" s="9">
        <f t="shared" si="2"/>
        <v>2.9041095890410963E-2</v>
      </c>
      <c r="J13" s="39">
        <v>7.0000000000000007E-2</v>
      </c>
      <c r="K13" s="9">
        <f t="shared" si="0"/>
        <v>4.0657534246575346E-2</v>
      </c>
    </row>
    <row r="14" spans="1:11" x14ac:dyDescent="0.25">
      <c r="E14" s="11" t="str">
        <f t="shared" si="1"/>
        <v>M13</v>
      </c>
      <c r="F14" s="2" t="s">
        <v>22</v>
      </c>
      <c r="G14" s="1" t="s">
        <v>21</v>
      </c>
      <c r="H14" s="38">
        <v>0.125</v>
      </c>
      <c r="I14" s="9">
        <f t="shared" si="2"/>
        <v>7.260273972602739E-2</v>
      </c>
      <c r="J14" s="39">
        <v>0.16</v>
      </c>
      <c r="K14" s="9">
        <f t="shared" si="0"/>
        <v>9.2931506849315074E-2</v>
      </c>
    </row>
    <row r="15" spans="1:11" x14ac:dyDescent="0.25">
      <c r="E15" s="11" t="str">
        <f t="shared" si="1"/>
        <v>M14</v>
      </c>
      <c r="F15" s="2" t="s">
        <v>22</v>
      </c>
      <c r="G15" s="1" t="s">
        <v>5</v>
      </c>
      <c r="H15" s="38">
        <v>0.2</v>
      </c>
      <c r="I15" s="9">
        <f t="shared" si="2"/>
        <v>0.11616438356164385</v>
      </c>
      <c r="J15" s="39">
        <v>0.26</v>
      </c>
      <c r="K15" s="9">
        <f t="shared" si="0"/>
        <v>0.151013698630137</v>
      </c>
    </row>
    <row r="16" spans="1:11" x14ac:dyDescent="0.25">
      <c r="E16" s="11" t="str">
        <f t="shared" si="1"/>
        <v>M15</v>
      </c>
      <c r="F16" s="2" t="s">
        <v>23</v>
      </c>
      <c r="G16" s="1" t="s">
        <v>0</v>
      </c>
      <c r="H16" s="38">
        <v>0.2</v>
      </c>
      <c r="I16" s="9">
        <f t="shared" si="2"/>
        <v>0.11616438356164385</v>
      </c>
      <c r="J16" s="39">
        <v>0.26</v>
      </c>
      <c r="K16" s="9">
        <f t="shared" si="0"/>
        <v>0.151013698630137</v>
      </c>
    </row>
    <row r="17" spans="5:12" x14ac:dyDescent="0.25">
      <c r="E17" s="11" t="str">
        <f t="shared" si="1"/>
        <v>M16</v>
      </c>
      <c r="F17" s="2" t="s">
        <v>23</v>
      </c>
      <c r="G17" s="1" t="s">
        <v>1</v>
      </c>
      <c r="H17" s="38">
        <v>0.2</v>
      </c>
      <c r="I17" s="9">
        <f t="shared" si="2"/>
        <v>0.11616438356164385</v>
      </c>
      <c r="J17" s="39">
        <v>0.26</v>
      </c>
      <c r="K17" s="9">
        <f t="shared" si="0"/>
        <v>0.151013698630137</v>
      </c>
    </row>
    <row r="18" spans="5:12" x14ac:dyDescent="0.25">
      <c r="E18" s="11" t="str">
        <f t="shared" si="1"/>
        <v>M17</v>
      </c>
      <c r="F18" s="2" t="s">
        <v>23</v>
      </c>
      <c r="G18" s="1" t="s">
        <v>2</v>
      </c>
      <c r="H18" s="38">
        <v>0.25</v>
      </c>
      <c r="I18" s="9">
        <f t="shared" si="2"/>
        <v>0.14520547945205478</v>
      </c>
      <c r="J18" s="39">
        <v>0.33</v>
      </c>
      <c r="K18" s="9">
        <f t="shared" si="0"/>
        <v>0.19167123287671234</v>
      </c>
      <c r="L18" s="12"/>
    </row>
    <row r="19" spans="5:12" x14ac:dyDescent="0.25">
      <c r="E19" s="11" t="str">
        <f t="shared" si="1"/>
        <v>M18</v>
      </c>
      <c r="F19" s="2" t="s">
        <v>23</v>
      </c>
      <c r="G19" s="1" t="s">
        <v>3</v>
      </c>
      <c r="H19" s="38">
        <v>0.2</v>
      </c>
      <c r="I19" s="9">
        <f t="shared" si="2"/>
        <v>0.11616438356164385</v>
      </c>
      <c r="J19" s="39">
        <v>0.26</v>
      </c>
      <c r="K19" s="9">
        <f t="shared" si="0"/>
        <v>0.151013698630137</v>
      </c>
    </row>
    <row r="20" spans="5:12" x14ac:dyDescent="0.25">
      <c r="E20" s="11" t="str">
        <f t="shared" si="1"/>
        <v>M19</v>
      </c>
      <c r="F20" s="2" t="s">
        <v>23</v>
      </c>
      <c r="G20" s="1" t="s">
        <v>4</v>
      </c>
      <c r="H20" s="38">
        <v>0.2</v>
      </c>
      <c r="I20" s="9">
        <f t="shared" si="2"/>
        <v>0.11616438356164385</v>
      </c>
      <c r="J20" s="39">
        <v>0.26</v>
      </c>
      <c r="K20" s="9">
        <f t="shared" si="0"/>
        <v>0.151013698630137</v>
      </c>
    </row>
    <row r="21" spans="5:12" x14ac:dyDescent="0.25">
      <c r="E21" s="11" t="str">
        <f t="shared" si="1"/>
        <v>M20</v>
      </c>
      <c r="F21" s="2" t="s">
        <v>23</v>
      </c>
      <c r="G21" s="1" t="s">
        <v>6</v>
      </c>
      <c r="H21" s="38">
        <v>0.2</v>
      </c>
      <c r="I21" s="9">
        <f t="shared" si="2"/>
        <v>0.11616438356164385</v>
      </c>
      <c r="J21" s="39">
        <v>0.26</v>
      </c>
      <c r="K21" s="9">
        <f t="shared" si="0"/>
        <v>0.151013698630137</v>
      </c>
    </row>
  </sheetData>
  <phoneticPr fontId="0" type="noConversion"/>
  <dataValidations count="1">
    <dataValidation type="list" allowBlank="1" showInputMessage="1" showErrorMessage="1" sqref="C7">
      <formula1>"C,G"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zoomScaleNormal="100" workbookViewId="0">
      <pane ySplit="1" topLeftCell="A2" activePane="bottomLeft" state="frozen"/>
      <selection pane="bottomLeft" activeCell="L5" sqref="L5"/>
    </sheetView>
  </sheetViews>
  <sheetFormatPr defaultColWidth="9.1796875" defaultRowHeight="12.5" x14ac:dyDescent="0.25"/>
  <cols>
    <col min="1" max="1" width="11.54296875" style="17" bestFit="1" customWidth="1"/>
    <col min="2" max="2" width="8" style="17" bestFit="1" customWidth="1"/>
    <col min="3" max="3" width="6.81640625" style="17" bestFit="1" customWidth="1"/>
    <col min="4" max="4" width="9.453125" style="17" bestFit="1" customWidth="1"/>
    <col min="5" max="5" width="8.7265625" style="18" bestFit="1" customWidth="1"/>
    <col min="6" max="6" width="17.54296875" style="1" bestFit="1" customWidth="1"/>
    <col min="7" max="7" width="13.453125" style="1" customWidth="1"/>
    <col min="8" max="8" width="12.54296875" style="1" bestFit="1" customWidth="1"/>
    <col min="9" max="9" width="10.1796875" style="2" bestFit="1" customWidth="1"/>
    <col min="10" max="10" width="24.36328125" style="2" bestFit="1" customWidth="1"/>
    <col min="11" max="11" width="13.08984375" style="1" bestFit="1" customWidth="1"/>
    <col min="12" max="12" width="12.453125" style="1" bestFit="1" customWidth="1"/>
    <col min="13" max="13" width="8" style="1" bestFit="1" customWidth="1"/>
    <col min="14" max="14" width="7.453125" style="1" bestFit="1" customWidth="1"/>
    <col min="15" max="15" width="10.36328125" style="1" bestFit="1" customWidth="1"/>
    <col min="16" max="16" width="10.1796875" style="1" bestFit="1" customWidth="1"/>
    <col min="17" max="18" width="11.1796875" style="1" bestFit="1" customWidth="1"/>
    <col min="19" max="19" width="9.26953125" style="1" bestFit="1" customWidth="1" collapsed="1"/>
    <col min="20" max="16384" width="9.1796875" style="1"/>
  </cols>
  <sheetData>
    <row r="1" spans="1:19" x14ac:dyDescent="0.25">
      <c r="A1" s="3" t="s">
        <v>85</v>
      </c>
      <c r="B1" s="3" t="s">
        <v>76</v>
      </c>
      <c r="C1" s="3" t="s">
        <v>77</v>
      </c>
      <c r="D1" s="3" t="s">
        <v>74</v>
      </c>
      <c r="E1" s="10" t="s">
        <v>59</v>
      </c>
      <c r="F1" s="3" t="s">
        <v>54</v>
      </c>
      <c r="G1" s="3" t="s">
        <v>55</v>
      </c>
      <c r="H1" s="3" t="s">
        <v>56</v>
      </c>
      <c r="I1" s="5" t="s">
        <v>30</v>
      </c>
      <c r="J1" s="5" t="s">
        <v>27</v>
      </c>
      <c r="K1" s="3" t="s">
        <v>61</v>
      </c>
      <c r="L1" s="3" t="s">
        <v>62</v>
      </c>
      <c r="M1" s="3" t="s">
        <v>63</v>
      </c>
      <c r="N1" s="3" t="s">
        <v>64</v>
      </c>
      <c r="O1" s="3" t="s">
        <v>65</v>
      </c>
      <c r="P1" s="3" t="s">
        <v>66</v>
      </c>
      <c r="Q1" s="3" t="s">
        <v>57</v>
      </c>
      <c r="R1" s="3" t="s">
        <v>58</v>
      </c>
      <c r="S1" s="3" t="s">
        <v>93</v>
      </c>
    </row>
    <row r="2" spans="1:19" x14ac:dyDescent="0.25">
      <c r="A2" s="14">
        <v>43861</v>
      </c>
      <c r="B2" s="23">
        <v>1</v>
      </c>
      <c r="C2" s="14" t="s">
        <v>60</v>
      </c>
      <c r="D2" s="14" t="s">
        <v>82</v>
      </c>
      <c r="E2" s="15" t="s">
        <v>36</v>
      </c>
      <c r="F2" s="19">
        <v>312000</v>
      </c>
      <c r="G2" s="21">
        <v>-312000</v>
      </c>
      <c r="H2" s="21">
        <v>-312000</v>
      </c>
      <c r="I2" s="2" t="str">
        <f>VLOOKUP($E2,Parametri!$E:$K,2,FALSE)</f>
        <v>Immateriali</v>
      </c>
      <c r="J2" s="2" t="str">
        <f>VLOOKUP($E2,Parametri!$E:$K,3,FALSE)</f>
        <v>Spese d'impianto</v>
      </c>
      <c r="K2" s="20">
        <f>$F2+G2</f>
        <v>0</v>
      </c>
      <c r="L2" s="20">
        <f t="shared" ref="L2:L56" si="0">$F2+H2</f>
        <v>0</v>
      </c>
      <c r="M2" s="24">
        <f>VLOOKUP($E2,Parametri!$E:$K,5,FALSE)</f>
        <v>0.11616438356164385</v>
      </c>
      <c r="N2" s="24">
        <f>VLOOKUP($E2,Parametri!$E:$K,7,FALSE)</f>
        <v>0.151013698630137</v>
      </c>
      <c r="O2" s="20">
        <f t="shared" ref="O2:P33" si="1">-IF(M2*$F2&gt;K2,K2,M2*$F2)*IF(inizio-$A2&gt;0,1,IF(metodo="C",50%,(analisi-$A2)/gganno))</f>
        <v>0</v>
      </c>
      <c r="P2" s="20">
        <f t="shared" si="1"/>
        <v>0</v>
      </c>
      <c r="Q2" s="22">
        <f t="shared" ref="Q2:R33" si="2">$F2+G2+O2</f>
        <v>0</v>
      </c>
      <c r="R2" s="22">
        <f>$F2+H2+P2</f>
        <v>0</v>
      </c>
      <c r="S2" s="1" t="str">
        <f>IF(inizio-$A2&gt;0,"old","new")&amp;IF(F2&gt;0,"+","-")</f>
        <v>old+</v>
      </c>
    </row>
    <row r="3" spans="1:19" x14ac:dyDescent="0.25">
      <c r="A3" s="14">
        <v>43884</v>
      </c>
      <c r="B3" s="23">
        <v>2</v>
      </c>
      <c r="C3" s="14" t="s">
        <v>60</v>
      </c>
      <c r="D3" s="14" t="s">
        <v>81</v>
      </c>
      <c r="E3" s="15" t="s">
        <v>37</v>
      </c>
      <c r="F3" s="19">
        <v>64000</v>
      </c>
      <c r="G3" s="21">
        <v>-21344</v>
      </c>
      <c r="H3" s="21">
        <v>-28800</v>
      </c>
      <c r="I3" s="2" t="str">
        <f>VLOOKUP($E3,Parametri!$E:$K,2,FALSE)</f>
        <v>Materiali</v>
      </c>
      <c r="J3" s="2" t="str">
        <f>VLOOKUP($E3,Parametri!$E:$K,3,FALSE)</f>
        <v>Impianto allarme</v>
      </c>
      <c r="K3" s="20">
        <f t="shared" ref="K3:K56" si="3">$F3+G3</f>
        <v>42656</v>
      </c>
      <c r="L3" s="20">
        <f t="shared" si="0"/>
        <v>35200</v>
      </c>
      <c r="M3" s="24">
        <f>VLOOKUP($E3,Parametri!$E:$K,5,FALSE)</f>
        <v>2.9041095890410963E-2</v>
      </c>
      <c r="N3" s="24">
        <f>VLOOKUP($E3,Parametri!$E:$K,7,FALSE)</f>
        <v>4.0657534246575346E-2</v>
      </c>
      <c r="O3" s="20">
        <f t="shared" si="1"/>
        <v>-1858.6301369863017</v>
      </c>
      <c r="P3" s="20">
        <f t="shared" si="1"/>
        <v>-2602.0821917808221</v>
      </c>
      <c r="Q3" s="22">
        <f t="shared" si="2"/>
        <v>40797.369863013701</v>
      </c>
      <c r="R3" s="22">
        <f t="shared" si="2"/>
        <v>32597.917808219179</v>
      </c>
      <c r="S3" s="1" t="str">
        <f>IF(inizio-$A3&gt;0,"old","new")&amp;IF(F3&gt;0,"+","-")</f>
        <v>old+</v>
      </c>
    </row>
    <row r="4" spans="1:19" x14ac:dyDescent="0.25">
      <c r="A4" s="16">
        <v>43885</v>
      </c>
      <c r="B4" s="23">
        <v>3</v>
      </c>
      <c r="C4" s="14" t="s">
        <v>60</v>
      </c>
      <c r="D4" s="14" t="s">
        <v>75</v>
      </c>
      <c r="E4" s="15" t="s">
        <v>38</v>
      </c>
      <c r="F4" s="19">
        <v>116000</v>
      </c>
      <c r="G4" s="21">
        <v>-48314</v>
      </c>
      <c r="H4" s="21">
        <v>-63800</v>
      </c>
      <c r="I4" s="2" t="str">
        <f>VLOOKUP($E4,Parametri!$E:$K,2,FALSE)</f>
        <v>Materiali</v>
      </c>
      <c r="J4" s="2" t="str">
        <f>VLOOKUP($E4,Parametri!$E:$K,3,FALSE)</f>
        <v>Stampi</v>
      </c>
      <c r="K4" s="20">
        <f t="shared" si="3"/>
        <v>67686</v>
      </c>
      <c r="L4" s="20">
        <f t="shared" si="0"/>
        <v>52200</v>
      </c>
      <c r="M4" s="24">
        <f>VLOOKUP($E4,Parametri!$E:$K,5,FALSE)</f>
        <v>0.11616438356164385</v>
      </c>
      <c r="N4" s="24">
        <f>VLOOKUP($E4,Parametri!$E:$K,7,FALSE)</f>
        <v>0.151013698630137</v>
      </c>
      <c r="O4" s="20">
        <f t="shared" si="1"/>
        <v>-13475.068493150688</v>
      </c>
      <c r="P4" s="20">
        <f t="shared" si="1"/>
        <v>-17517.589041095893</v>
      </c>
      <c r="Q4" s="22">
        <f t="shared" si="2"/>
        <v>54210.931506849316</v>
      </c>
      <c r="R4" s="22">
        <f t="shared" si="2"/>
        <v>34682.410958904104</v>
      </c>
      <c r="S4" s="1" t="str">
        <f>IF(inizio-$A4&gt;0,"old","new")&amp;IF(F4&gt;0,"+","-")</f>
        <v>old+</v>
      </c>
    </row>
    <row r="5" spans="1:19" x14ac:dyDescent="0.25">
      <c r="A5" s="16">
        <v>43907</v>
      </c>
      <c r="B5" s="23">
        <v>4</v>
      </c>
      <c r="C5" s="14" t="s">
        <v>60</v>
      </c>
      <c r="D5" s="14" t="s">
        <v>81</v>
      </c>
      <c r="E5" s="15" t="s">
        <v>39</v>
      </c>
      <c r="F5" s="19">
        <v>173000</v>
      </c>
      <c r="G5" s="21">
        <v>-43250</v>
      </c>
      <c r="H5" s="21">
        <v>-60550</v>
      </c>
      <c r="I5" s="2" t="str">
        <f>VLOOKUP($E5,Parametri!$E:$K,2,FALSE)</f>
        <v>Materiali</v>
      </c>
      <c r="J5" s="2" t="str">
        <f>VLOOKUP($E5,Parametri!$E:$K,3,FALSE)</f>
        <v>Telefoni cellulari</v>
      </c>
      <c r="K5" s="20">
        <f t="shared" si="3"/>
        <v>129750</v>
      </c>
      <c r="L5" s="20">
        <f t="shared" si="0"/>
        <v>112450</v>
      </c>
      <c r="M5" s="24">
        <f>VLOOKUP($E5,Parametri!$E:$K,5,FALSE)</f>
        <v>7.260273972602739E-2</v>
      </c>
      <c r="N5" s="24">
        <f>VLOOKUP($E5,Parametri!$E:$K,7,FALSE)</f>
        <v>9.2931506849315074E-2</v>
      </c>
      <c r="O5" s="20">
        <f t="shared" si="1"/>
        <v>-12560.273972602739</v>
      </c>
      <c r="P5" s="20">
        <f t="shared" si="1"/>
        <v>-16077.150684931508</v>
      </c>
      <c r="Q5" s="22">
        <f t="shared" si="2"/>
        <v>117189.72602739726</v>
      </c>
      <c r="R5" s="22">
        <f t="shared" si="2"/>
        <v>96372.849315068495</v>
      </c>
      <c r="S5" s="1" t="str">
        <f>IF(inizio-$A5&gt;0,"old","new")&amp;IF(F5&gt;0,"+","-")</f>
        <v>old+</v>
      </c>
    </row>
    <row r="6" spans="1:19" x14ac:dyDescent="0.25">
      <c r="A6" s="14">
        <v>43946</v>
      </c>
      <c r="B6" s="23">
        <v>5</v>
      </c>
      <c r="C6" s="14" t="s">
        <v>60</v>
      </c>
      <c r="D6" s="14" t="s">
        <v>75</v>
      </c>
      <c r="E6" s="15" t="s">
        <v>40</v>
      </c>
      <c r="F6" s="19">
        <v>245000</v>
      </c>
      <c r="G6" s="21">
        <v>-245000</v>
      </c>
      <c r="H6" s="21">
        <v>-245000</v>
      </c>
      <c r="I6" s="2" t="str">
        <f>VLOOKUP($E6,Parametri!$E:$K,2,FALSE)</f>
        <v>Materiali</v>
      </c>
      <c r="J6" s="2" t="str">
        <f>VLOOKUP($E6,Parametri!$E:$K,3,FALSE)</f>
        <v>Attrezzatura Varia</v>
      </c>
      <c r="K6" s="20">
        <f t="shared" si="3"/>
        <v>0</v>
      </c>
      <c r="L6" s="20">
        <f t="shared" si="0"/>
        <v>0</v>
      </c>
      <c r="M6" s="24">
        <f>VLOOKUP($E6,Parametri!$E:$K,5,FALSE)</f>
        <v>4.8382465753424662E-2</v>
      </c>
      <c r="N6" s="24">
        <f>VLOOKUP($E6,Parametri!$E:$K,7,FALSE)</f>
        <v>6.3890410958904104E-2</v>
      </c>
      <c r="O6" s="20">
        <f t="shared" si="1"/>
        <v>0</v>
      </c>
      <c r="P6" s="20">
        <f t="shared" si="1"/>
        <v>0</v>
      </c>
      <c r="Q6" s="22">
        <f t="shared" si="2"/>
        <v>0</v>
      </c>
      <c r="R6" s="22">
        <f t="shared" si="2"/>
        <v>0</v>
      </c>
      <c r="S6" s="1" t="str">
        <f>IF(inizio-$A6&gt;0,"old","new")&amp;IF(F6&gt;0,"+","-")</f>
        <v>old+</v>
      </c>
    </row>
    <row r="7" spans="1:19" x14ac:dyDescent="0.25">
      <c r="A7" s="16">
        <v>44072</v>
      </c>
      <c r="B7" s="23">
        <v>6</v>
      </c>
      <c r="C7" s="14" t="s">
        <v>60</v>
      </c>
      <c r="D7" s="14" t="s">
        <v>75</v>
      </c>
      <c r="E7" s="15" t="s">
        <v>41</v>
      </c>
      <c r="F7" s="19">
        <v>73000</v>
      </c>
      <c r="G7" s="21">
        <v>-73000</v>
      </c>
      <c r="H7" s="21">
        <v>-73000</v>
      </c>
      <c r="I7" s="2" t="str">
        <f>VLOOKUP($E7,Parametri!$E:$K,2,FALSE)</f>
        <v>Immateriali</v>
      </c>
      <c r="J7" s="2" t="str">
        <f>VLOOKUP($E7,Parametri!$E:$K,3,FALSE)</f>
        <v>Costi acq. Ramo di azienda</v>
      </c>
      <c r="K7" s="20">
        <f t="shared" si="3"/>
        <v>0</v>
      </c>
      <c r="L7" s="20">
        <f t="shared" si="0"/>
        <v>0</v>
      </c>
      <c r="M7" s="24">
        <f>VLOOKUP($E7,Parametri!$E:$K,5,FALSE)</f>
        <v>0.11616438356164385</v>
      </c>
      <c r="N7" s="24">
        <f>VLOOKUP($E7,Parametri!$E:$K,7,FALSE)</f>
        <v>0.151013698630137</v>
      </c>
      <c r="O7" s="20">
        <f t="shared" si="1"/>
        <v>0</v>
      </c>
      <c r="P7" s="20">
        <f t="shared" si="1"/>
        <v>0</v>
      </c>
      <c r="Q7" s="22">
        <f t="shared" si="2"/>
        <v>0</v>
      </c>
      <c r="R7" s="22">
        <f t="shared" si="2"/>
        <v>0</v>
      </c>
      <c r="S7" s="1" t="str">
        <f>IF(inizio-$A7&gt;0,"old","new")&amp;IF(F7&gt;0,"+","-")</f>
        <v>old+</v>
      </c>
    </row>
    <row r="8" spans="1:19" x14ac:dyDescent="0.25">
      <c r="A8" s="16">
        <v>44091</v>
      </c>
      <c r="B8" s="23">
        <v>7</v>
      </c>
      <c r="C8" s="14" t="s">
        <v>60</v>
      </c>
      <c r="D8" s="14" t="s">
        <v>81</v>
      </c>
      <c r="E8" s="15" t="s">
        <v>42</v>
      </c>
      <c r="F8" s="19">
        <v>321000</v>
      </c>
      <c r="G8" s="21">
        <v>-107053.5</v>
      </c>
      <c r="H8" s="21">
        <v>-144450</v>
      </c>
      <c r="I8" s="2" t="str">
        <f>VLOOKUP($E8,Parametri!$E:$K,2,FALSE)</f>
        <v>Materiali</v>
      </c>
      <c r="J8" s="2" t="str">
        <f>VLOOKUP($E8,Parametri!$E:$K,3,FALSE)</f>
        <v>Automezzi</v>
      </c>
      <c r="K8" s="20">
        <f t="shared" si="3"/>
        <v>213946.5</v>
      </c>
      <c r="L8" s="20">
        <f t="shared" si="0"/>
        <v>176550</v>
      </c>
      <c r="M8" s="24">
        <f>VLOOKUP($E8,Parametri!$E:$K,5,FALSE)</f>
        <v>0.14520547945205478</v>
      </c>
      <c r="N8" s="24">
        <f>VLOOKUP($E8,Parametri!$E:$K,7,FALSE)</f>
        <v>0.19167123287671234</v>
      </c>
      <c r="O8" s="20">
        <f t="shared" si="1"/>
        <v>-46610.958904109582</v>
      </c>
      <c r="P8" s="20">
        <f t="shared" si="1"/>
        <v>-61526.465753424658</v>
      </c>
      <c r="Q8" s="22">
        <f t="shared" si="2"/>
        <v>167335.54109589042</v>
      </c>
      <c r="R8" s="22">
        <f t="shared" si="2"/>
        <v>115023.53424657535</v>
      </c>
      <c r="S8" s="1" t="str">
        <f>IF(inizio-$A8&gt;0,"old","new")&amp;IF(F8&gt;0,"+","-")</f>
        <v>old+</v>
      </c>
    </row>
    <row r="9" spans="1:19" x14ac:dyDescent="0.25">
      <c r="A9" s="14">
        <v>44137</v>
      </c>
      <c r="B9" s="23">
        <v>8</v>
      </c>
      <c r="C9" s="14" t="s">
        <v>60</v>
      </c>
      <c r="D9" s="14" t="s">
        <v>82</v>
      </c>
      <c r="E9" s="15" t="s">
        <v>43</v>
      </c>
      <c r="F9" s="19">
        <v>244000</v>
      </c>
      <c r="G9" s="21">
        <v>-244000</v>
      </c>
      <c r="H9" s="21">
        <v>-244000</v>
      </c>
      <c r="I9" s="2" t="str">
        <f>VLOOKUP($E9,Parametri!$E:$K,2,FALSE)</f>
        <v>Immateriali</v>
      </c>
      <c r="J9" s="2" t="str">
        <f>VLOOKUP($E9,Parametri!$E:$K,3,FALSE)</f>
        <v>Marchi e Brevetti</v>
      </c>
      <c r="K9" s="20">
        <f t="shared" si="3"/>
        <v>0</v>
      </c>
      <c r="L9" s="20">
        <f t="shared" si="0"/>
        <v>0</v>
      </c>
      <c r="M9" s="24">
        <f>VLOOKUP($E9,Parametri!$E:$K,5,FALSE)</f>
        <v>0.14520547945205478</v>
      </c>
      <c r="N9" s="24">
        <f>VLOOKUP($E9,Parametri!$E:$K,7,FALSE)</f>
        <v>0.19167123287671234</v>
      </c>
      <c r="O9" s="20">
        <f t="shared" si="1"/>
        <v>0</v>
      </c>
      <c r="P9" s="20">
        <f t="shared" si="1"/>
        <v>0</v>
      </c>
      <c r="Q9" s="22">
        <f t="shared" si="2"/>
        <v>0</v>
      </c>
      <c r="R9" s="22">
        <f t="shared" si="2"/>
        <v>0</v>
      </c>
      <c r="S9" s="1" t="str">
        <f>IF(inizio-$A9&gt;0,"old","new")&amp;IF(F9&gt;0,"+","-")</f>
        <v>old+</v>
      </c>
    </row>
    <row r="10" spans="1:19" x14ac:dyDescent="0.25">
      <c r="A10" s="16">
        <v>44301</v>
      </c>
      <c r="B10" s="23">
        <v>9</v>
      </c>
      <c r="C10" s="14" t="s">
        <v>60</v>
      </c>
      <c r="D10" s="14" t="s">
        <v>81</v>
      </c>
      <c r="E10" s="15" t="s">
        <v>39</v>
      </c>
      <c r="F10" s="19">
        <v>370000</v>
      </c>
      <c r="G10" s="21">
        <v>-74000</v>
      </c>
      <c r="H10" s="21">
        <v>-103600</v>
      </c>
      <c r="I10" s="2" t="str">
        <f>VLOOKUP($E10,Parametri!$E:$K,2,FALSE)</f>
        <v>Materiali</v>
      </c>
      <c r="J10" s="2" t="str">
        <f>VLOOKUP($E10,Parametri!$E:$K,3,FALSE)</f>
        <v>Telefoni cellulari</v>
      </c>
      <c r="K10" s="20">
        <f t="shared" si="3"/>
        <v>296000</v>
      </c>
      <c r="L10" s="20">
        <f t="shared" si="0"/>
        <v>266400</v>
      </c>
      <c r="M10" s="24">
        <f>VLOOKUP($E10,Parametri!$E:$K,5,FALSE)</f>
        <v>7.260273972602739E-2</v>
      </c>
      <c r="N10" s="24">
        <f>VLOOKUP($E10,Parametri!$E:$K,7,FALSE)</f>
        <v>9.2931506849315074E-2</v>
      </c>
      <c r="O10" s="20">
        <f t="shared" si="1"/>
        <v>-26863.013698630133</v>
      </c>
      <c r="P10" s="20">
        <f t="shared" si="1"/>
        <v>-34384.65753424658</v>
      </c>
      <c r="Q10" s="22">
        <f t="shared" si="2"/>
        <v>269136.98630136985</v>
      </c>
      <c r="R10" s="22">
        <f t="shared" si="2"/>
        <v>232015.34246575343</v>
      </c>
      <c r="S10" s="1" t="str">
        <f>IF(inizio-$A10&gt;0,"old","new")&amp;IF(F10&gt;0,"+","-")</f>
        <v>old+</v>
      </c>
    </row>
    <row r="11" spans="1:19" x14ac:dyDescent="0.25">
      <c r="A11" s="16">
        <v>44303</v>
      </c>
      <c r="B11" s="23">
        <v>10</v>
      </c>
      <c r="C11" s="14" t="s">
        <v>60</v>
      </c>
      <c r="D11" s="14" t="s">
        <v>81</v>
      </c>
      <c r="E11" s="15" t="s">
        <v>36</v>
      </c>
      <c r="F11" s="19">
        <v>202000</v>
      </c>
      <c r="G11" s="21">
        <v>-161600</v>
      </c>
      <c r="H11" s="21">
        <v>-202000</v>
      </c>
      <c r="I11" s="2" t="str">
        <f>VLOOKUP($E11,Parametri!$E:$K,2,FALSE)</f>
        <v>Immateriali</v>
      </c>
      <c r="J11" s="2" t="str">
        <f>VLOOKUP($E11,Parametri!$E:$K,3,FALSE)</f>
        <v>Spese d'impianto</v>
      </c>
      <c r="K11" s="20">
        <f t="shared" si="3"/>
        <v>40400</v>
      </c>
      <c r="L11" s="20">
        <f t="shared" si="0"/>
        <v>0</v>
      </c>
      <c r="M11" s="24">
        <f>VLOOKUP($E11,Parametri!$E:$K,5,FALSE)</f>
        <v>0.11616438356164385</v>
      </c>
      <c r="N11" s="24">
        <f>VLOOKUP($E11,Parametri!$E:$K,7,FALSE)</f>
        <v>0.151013698630137</v>
      </c>
      <c r="O11" s="20">
        <f t="shared" si="1"/>
        <v>-23465.205479452059</v>
      </c>
      <c r="P11" s="20">
        <f t="shared" si="1"/>
        <v>0</v>
      </c>
      <c r="Q11" s="22">
        <f t="shared" si="2"/>
        <v>16934.794520547941</v>
      </c>
      <c r="R11" s="22">
        <f t="shared" si="2"/>
        <v>0</v>
      </c>
      <c r="S11" s="1" t="str">
        <f>IF(inizio-$A11&gt;0,"old","new")&amp;IF(F11&gt;0,"+","-")</f>
        <v>old+</v>
      </c>
    </row>
    <row r="12" spans="1:19" x14ac:dyDescent="0.25">
      <c r="A12" s="16">
        <v>44350</v>
      </c>
      <c r="B12" s="23">
        <v>11</v>
      </c>
      <c r="C12" s="14" t="s">
        <v>60</v>
      </c>
      <c r="D12" s="14" t="s">
        <v>82</v>
      </c>
      <c r="E12" s="15" t="s">
        <v>44</v>
      </c>
      <c r="F12" s="19">
        <v>265000</v>
      </c>
      <c r="G12" s="21">
        <v>-212000</v>
      </c>
      <c r="H12" s="21">
        <v>-265000</v>
      </c>
      <c r="I12" s="2" t="str">
        <f>VLOOKUP($E12,Parametri!$E:$K,2,FALSE)</f>
        <v>Immateriali</v>
      </c>
      <c r="J12" s="2" t="str">
        <f>VLOOKUP($E12,Parametri!$E:$K,3,FALSE)</f>
        <v>R &amp; D</v>
      </c>
      <c r="K12" s="20">
        <f t="shared" si="3"/>
        <v>53000</v>
      </c>
      <c r="L12" s="20">
        <f t="shared" si="0"/>
        <v>0</v>
      </c>
      <c r="M12" s="24">
        <f>VLOOKUP($E12,Parametri!$E:$K,5,FALSE)</f>
        <v>0.11616438356164385</v>
      </c>
      <c r="N12" s="24">
        <f>VLOOKUP($E12,Parametri!$E:$K,7,FALSE)</f>
        <v>0.151013698630137</v>
      </c>
      <c r="O12" s="20">
        <f t="shared" si="1"/>
        <v>-30783.561643835619</v>
      </c>
      <c r="P12" s="20">
        <f t="shared" si="1"/>
        <v>0</v>
      </c>
      <c r="Q12" s="22">
        <f t="shared" si="2"/>
        <v>22216.438356164381</v>
      </c>
      <c r="R12" s="22">
        <f t="shared" si="2"/>
        <v>0</v>
      </c>
      <c r="S12" s="1" t="str">
        <f>IF(inizio-$A12&gt;0,"old","new")&amp;IF(F12&gt;0,"+","-")</f>
        <v>old+</v>
      </c>
    </row>
    <row r="13" spans="1:19" x14ac:dyDescent="0.25">
      <c r="A13" s="14">
        <v>44370</v>
      </c>
      <c r="B13" s="23">
        <v>12</v>
      </c>
      <c r="C13" s="14" t="s">
        <v>60</v>
      </c>
      <c r="D13" s="14" t="s">
        <v>75</v>
      </c>
      <c r="E13" s="15" t="s">
        <v>49</v>
      </c>
      <c r="F13" s="19">
        <v>113000</v>
      </c>
      <c r="G13" s="21">
        <v>-11300</v>
      </c>
      <c r="H13" s="21">
        <v>-13560</v>
      </c>
      <c r="I13" s="2" t="str">
        <f>VLOOKUP($E13,Parametri!$E:$K,2,FALSE)</f>
        <v>Materiali</v>
      </c>
      <c r="J13" s="2" t="str">
        <f>VLOOKUP($E13,Parametri!$E:$K,3,FALSE)</f>
        <v>Fabbricati industriali</v>
      </c>
      <c r="K13" s="20">
        <f t="shared" si="3"/>
        <v>101700</v>
      </c>
      <c r="L13" s="20">
        <f t="shared" si="0"/>
        <v>99440</v>
      </c>
      <c r="M13" s="24">
        <f>VLOOKUP($E13,Parametri!$E:$K,5,FALSE)</f>
        <v>1.4520547945205482E-2</v>
      </c>
      <c r="N13" s="24">
        <f>VLOOKUP($E13,Parametri!$E:$K,7,FALSE)</f>
        <v>1.7424657534246574E-2</v>
      </c>
      <c r="O13" s="20">
        <f t="shared" si="1"/>
        <v>-1640.8219178082195</v>
      </c>
      <c r="P13" s="20">
        <f t="shared" si="1"/>
        <v>-1968.9863013698628</v>
      </c>
      <c r="Q13" s="22">
        <f t="shared" si="2"/>
        <v>100059.17808219178</v>
      </c>
      <c r="R13" s="22">
        <f t="shared" si="2"/>
        <v>97471.013698630137</v>
      </c>
      <c r="S13" s="1" t="str">
        <f>IF(inizio-$A13&gt;0,"old","new")&amp;IF(F13&gt;0,"+","-")</f>
        <v>old+</v>
      </c>
    </row>
    <row r="14" spans="1:19" x14ac:dyDescent="0.25">
      <c r="A14" s="14">
        <v>44406</v>
      </c>
      <c r="B14" s="23">
        <v>13</v>
      </c>
      <c r="C14" s="14" t="s">
        <v>60</v>
      </c>
      <c r="D14" s="14" t="s">
        <v>82</v>
      </c>
      <c r="E14" s="15" t="s">
        <v>45</v>
      </c>
      <c r="F14" s="19">
        <v>141000</v>
      </c>
      <c r="G14" s="21">
        <v>-94018.8</v>
      </c>
      <c r="H14" s="21">
        <v>-124080</v>
      </c>
      <c r="I14" s="2" t="str">
        <f>VLOOKUP($E14,Parametri!$E:$K,2,FALSE)</f>
        <v>Materiali</v>
      </c>
      <c r="J14" s="2" t="str">
        <f>VLOOKUP($E14,Parametri!$E:$K,3,FALSE)</f>
        <v>App. elettroniche produzione</v>
      </c>
      <c r="K14" s="20">
        <f t="shared" si="3"/>
        <v>46981.2</v>
      </c>
      <c r="L14" s="20">
        <f t="shared" si="0"/>
        <v>16920</v>
      </c>
      <c r="M14" s="24">
        <f>VLOOKUP($E14,Parametri!$E:$K,5,FALSE)</f>
        <v>5.8082191780821926E-2</v>
      </c>
      <c r="N14" s="24">
        <f>VLOOKUP($E14,Parametri!$E:$K,7,FALSE)</f>
        <v>7.55068493150685E-2</v>
      </c>
      <c r="O14" s="20">
        <f t="shared" si="1"/>
        <v>-8189.5890410958918</v>
      </c>
      <c r="P14" s="20">
        <f t="shared" si="1"/>
        <v>-10646.465753424658</v>
      </c>
      <c r="Q14" s="22">
        <f t="shared" si="2"/>
        <v>38791.610958904108</v>
      </c>
      <c r="R14" s="22">
        <f t="shared" si="2"/>
        <v>6273.534246575342</v>
      </c>
      <c r="S14" s="1" t="str">
        <f>IF(inizio-$A14&gt;0,"old","new")&amp;IF(F14&gt;0,"+","-")</f>
        <v>old+</v>
      </c>
    </row>
    <row r="15" spans="1:19" x14ac:dyDescent="0.25">
      <c r="A15" s="16">
        <v>44409</v>
      </c>
      <c r="B15" s="23">
        <v>14</v>
      </c>
      <c r="C15" s="14" t="s">
        <v>60</v>
      </c>
      <c r="D15" s="14" t="s">
        <v>81</v>
      </c>
      <c r="E15" s="15" t="s">
        <v>40</v>
      </c>
      <c r="F15" s="19">
        <v>135000</v>
      </c>
      <c r="G15" s="21">
        <v>-108000</v>
      </c>
      <c r="H15" s="21">
        <v>-135000</v>
      </c>
      <c r="I15" s="2" t="str">
        <f>VLOOKUP($E15,Parametri!$E:$K,2,FALSE)</f>
        <v>Materiali</v>
      </c>
      <c r="J15" s="2" t="str">
        <f>VLOOKUP($E15,Parametri!$E:$K,3,FALSE)</f>
        <v>Attrezzatura Varia</v>
      </c>
      <c r="K15" s="20">
        <f t="shared" si="3"/>
        <v>27000</v>
      </c>
      <c r="L15" s="20">
        <f t="shared" si="0"/>
        <v>0</v>
      </c>
      <c r="M15" s="24">
        <f>VLOOKUP($E15,Parametri!$E:$K,5,FALSE)</f>
        <v>4.8382465753424662E-2</v>
      </c>
      <c r="N15" s="24">
        <f>VLOOKUP($E15,Parametri!$E:$K,7,FALSE)</f>
        <v>6.3890410958904104E-2</v>
      </c>
      <c r="O15" s="20">
        <f t="shared" si="1"/>
        <v>-6531.6328767123296</v>
      </c>
      <c r="P15" s="20">
        <f t="shared" si="1"/>
        <v>0</v>
      </c>
      <c r="Q15" s="22">
        <f t="shared" si="2"/>
        <v>20468.36712328767</v>
      </c>
      <c r="R15" s="22">
        <f t="shared" si="2"/>
        <v>0</v>
      </c>
      <c r="S15" s="1" t="str">
        <f>IF(inizio-$A15&gt;0,"old","new")&amp;IF(F15&gt;0,"+","-")</f>
        <v>old+</v>
      </c>
    </row>
    <row r="16" spans="1:19" x14ac:dyDescent="0.25">
      <c r="A16" s="14">
        <v>44465</v>
      </c>
      <c r="B16" s="23">
        <v>15</v>
      </c>
      <c r="C16" s="14" t="s">
        <v>60</v>
      </c>
      <c r="D16" s="14" t="s">
        <v>82</v>
      </c>
      <c r="E16" s="15" t="s">
        <v>47</v>
      </c>
      <c r="F16" s="19">
        <v>190000</v>
      </c>
      <c r="G16" s="21">
        <v>-95000</v>
      </c>
      <c r="H16" s="21">
        <v>-190000</v>
      </c>
      <c r="I16" s="2" t="str">
        <f>VLOOKUP($E16,Parametri!$E:$K,2,FALSE)</f>
        <v>Materiali</v>
      </c>
      <c r="J16" s="2" t="str">
        <f>VLOOKUP($E16,Parametri!$E:$K,3,FALSE)</f>
        <v>Prog. Software</v>
      </c>
      <c r="K16" s="20">
        <f t="shared" si="3"/>
        <v>95000</v>
      </c>
      <c r="L16" s="20">
        <f t="shared" si="0"/>
        <v>0</v>
      </c>
      <c r="M16" s="24">
        <f>VLOOKUP($E16,Parametri!$E:$K,5,FALSE)</f>
        <v>0.11616438356164385</v>
      </c>
      <c r="N16" s="24">
        <f>VLOOKUP($E16,Parametri!$E:$K,7,FALSE)</f>
        <v>0.151013698630137</v>
      </c>
      <c r="O16" s="20">
        <f t="shared" si="1"/>
        <v>-22071.232876712333</v>
      </c>
      <c r="P16" s="20">
        <f t="shared" si="1"/>
        <v>0</v>
      </c>
      <c r="Q16" s="22">
        <f t="shared" si="2"/>
        <v>72928.76712328766</v>
      </c>
      <c r="R16" s="22">
        <f t="shared" si="2"/>
        <v>0</v>
      </c>
      <c r="S16" s="1" t="str">
        <f>IF(inizio-$A16&gt;0,"old","new")&amp;IF(F16&gt;0,"+","-")</f>
        <v>old+</v>
      </c>
    </row>
    <row r="17" spans="1:19" x14ac:dyDescent="0.25">
      <c r="A17" s="16">
        <v>44487</v>
      </c>
      <c r="B17" s="23">
        <v>16</v>
      </c>
      <c r="C17" s="14" t="s">
        <v>60</v>
      </c>
      <c r="D17" s="14" t="s">
        <v>82</v>
      </c>
      <c r="E17" s="15" t="s">
        <v>36</v>
      </c>
      <c r="F17" s="19">
        <v>137000</v>
      </c>
      <c r="G17" s="21">
        <v>-109600</v>
      </c>
      <c r="H17" s="21">
        <v>-137000</v>
      </c>
      <c r="I17" s="2" t="str">
        <f>VLOOKUP($E17,Parametri!$E:$K,2,FALSE)</f>
        <v>Immateriali</v>
      </c>
      <c r="J17" s="2" t="str">
        <f>VLOOKUP($E17,Parametri!$E:$K,3,FALSE)</f>
        <v>Spese d'impianto</v>
      </c>
      <c r="K17" s="20">
        <f t="shared" si="3"/>
        <v>27400</v>
      </c>
      <c r="L17" s="20">
        <f t="shared" si="0"/>
        <v>0</v>
      </c>
      <c r="M17" s="24">
        <f>VLOOKUP($E17,Parametri!$E:$K,5,FALSE)</f>
        <v>0.11616438356164385</v>
      </c>
      <c r="N17" s="24">
        <f>VLOOKUP($E17,Parametri!$E:$K,7,FALSE)</f>
        <v>0.151013698630137</v>
      </c>
      <c r="O17" s="20">
        <f t="shared" si="1"/>
        <v>-15914.520547945207</v>
      </c>
      <c r="P17" s="20">
        <f t="shared" si="1"/>
        <v>0</v>
      </c>
      <c r="Q17" s="22">
        <f t="shared" si="2"/>
        <v>11485.479452054793</v>
      </c>
      <c r="R17" s="22">
        <f t="shared" si="2"/>
        <v>0</v>
      </c>
      <c r="S17" s="1" t="str">
        <f>IF(inizio-$A17&gt;0,"old","new")&amp;IF(F17&gt;0,"+","-")</f>
        <v>old+</v>
      </c>
    </row>
    <row r="18" spans="1:19" x14ac:dyDescent="0.25">
      <c r="A18" s="16">
        <v>44532</v>
      </c>
      <c r="B18" s="23">
        <v>17</v>
      </c>
      <c r="C18" s="14" t="s">
        <v>60</v>
      </c>
      <c r="D18" s="14" t="s">
        <v>81</v>
      </c>
      <c r="E18" s="15" t="s">
        <v>48</v>
      </c>
      <c r="F18" s="19">
        <v>185000</v>
      </c>
      <c r="G18" s="21">
        <v>-61642</v>
      </c>
      <c r="H18" s="21">
        <v>-81400</v>
      </c>
      <c r="I18" s="2" t="str">
        <f>VLOOKUP($E18,Parametri!$E:$K,2,FALSE)</f>
        <v>Materiali</v>
      </c>
      <c r="J18" s="2" t="str">
        <f>VLOOKUP($E18,Parametri!$E:$K,3,FALSE)</f>
        <v>Mobili e macchine da ufficio</v>
      </c>
      <c r="K18" s="20">
        <f t="shared" si="3"/>
        <v>123358</v>
      </c>
      <c r="L18" s="20">
        <f t="shared" si="0"/>
        <v>103600</v>
      </c>
      <c r="M18" s="24">
        <f>VLOOKUP($E18,Parametri!$E:$K,5,FALSE)</f>
        <v>3.874082191780822E-2</v>
      </c>
      <c r="N18" s="24">
        <f>VLOOKUP($E18,Parametri!$E:$K,7,FALSE)</f>
        <v>5.2273972602739721E-2</v>
      </c>
      <c r="O18" s="20">
        <f t="shared" si="1"/>
        <v>-7167.0520547945207</v>
      </c>
      <c r="P18" s="20">
        <f t="shared" si="1"/>
        <v>-9670.6849315068484</v>
      </c>
      <c r="Q18" s="22">
        <f t="shared" si="2"/>
        <v>116190.94794520548</v>
      </c>
      <c r="R18" s="22">
        <f t="shared" si="2"/>
        <v>93929.315068493146</v>
      </c>
      <c r="S18" s="1" t="str">
        <f>IF(inizio-$A18&gt;0,"old","new")&amp;IF(F18&gt;0,"+","-")</f>
        <v>old+</v>
      </c>
    </row>
    <row r="19" spans="1:19" x14ac:dyDescent="0.25">
      <c r="A19" s="14">
        <v>44567</v>
      </c>
      <c r="B19" s="23">
        <v>18</v>
      </c>
      <c r="C19" s="14" t="s">
        <v>60</v>
      </c>
      <c r="D19" s="14" t="s">
        <v>81</v>
      </c>
      <c r="E19" s="15" t="s">
        <v>36</v>
      </c>
      <c r="F19" s="19">
        <v>119000</v>
      </c>
      <c r="G19" s="21">
        <v>-71400</v>
      </c>
      <c r="H19" s="21">
        <v>-92820</v>
      </c>
      <c r="I19" s="2" t="str">
        <f>VLOOKUP($E19,Parametri!$E:$K,2,FALSE)</f>
        <v>Immateriali</v>
      </c>
      <c r="J19" s="2" t="str">
        <f>VLOOKUP($E19,Parametri!$E:$K,3,FALSE)</f>
        <v>Spese d'impianto</v>
      </c>
      <c r="K19" s="20">
        <f t="shared" si="3"/>
        <v>47600</v>
      </c>
      <c r="L19" s="20">
        <f t="shared" si="0"/>
        <v>26180</v>
      </c>
      <c r="M19" s="24">
        <f>VLOOKUP($E19,Parametri!$E:$K,5,FALSE)</f>
        <v>0.11616438356164385</v>
      </c>
      <c r="N19" s="24">
        <f>VLOOKUP($E19,Parametri!$E:$K,7,FALSE)</f>
        <v>0.151013698630137</v>
      </c>
      <c r="O19" s="20">
        <f t="shared" si="1"/>
        <v>-13823.561643835619</v>
      </c>
      <c r="P19" s="20">
        <f t="shared" si="1"/>
        <v>-17970.630136986303</v>
      </c>
      <c r="Q19" s="22">
        <f t="shared" si="2"/>
        <v>33776.438356164377</v>
      </c>
      <c r="R19" s="22">
        <f t="shared" si="2"/>
        <v>8209.3698630136969</v>
      </c>
      <c r="S19" s="1" t="str">
        <f>IF(inizio-$A19&gt;0,"old","new")&amp;IF(F19&gt;0,"+","-")</f>
        <v>old+</v>
      </c>
    </row>
    <row r="20" spans="1:19" x14ac:dyDescent="0.25">
      <c r="A20" s="16">
        <v>44568</v>
      </c>
      <c r="B20" s="23">
        <v>19</v>
      </c>
      <c r="C20" s="14" t="s">
        <v>60</v>
      </c>
      <c r="D20" s="14" t="s">
        <v>82</v>
      </c>
      <c r="E20" s="15" t="s">
        <v>46</v>
      </c>
      <c r="F20" s="19">
        <v>388000</v>
      </c>
      <c r="G20" s="21">
        <v>-232800</v>
      </c>
      <c r="H20" s="21">
        <v>-302640</v>
      </c>
      <c r="I20" s="2" t="str">
        <f>VLOOKUP($E20,Parametri!$E:$K,2,FALSE)</f>
        <v>Immateriali</v>
      </c>
      <c r="J20" s="2" t="str">
        <f>VLOOKUP($E20,Parametri!$E:$K,3,FALSE)</f>
        <v>Avanzo di fusione</v>
      </c>
      <c r="K20" s="20">
        <f t="shared" si="3"/>
        <v>155200</v>
      </c>
      <c r="L20" s="20">
        <f t="shared" si="0"/>
        <v>85360</v>
      </c>
      <c r="M20" s="24">
        <f>VLOOKUP($E20,Parametri!$E:$K,5,FALSE)</f>
        <v>0.11616438356164385</v>
      </c>
      <c r="N20" s="24">
        <f>VLOOKUP($E20,Parametri!$E:$K,7,FALSE)</f>
        <v>0.151013698630137</v>
      </c>
      <c r="O20" s="20">
        <f t="shared" si="1"/>
        <v>-45071.780821917811</v>
      </c>
      <c r="P20" s="20">
        <f t="shared" si="1"/>
        <v>-58593.315068493153</v>
      </c>
      <c r="Q20" s="22">
        <f t="shared" si="2"/>
        <v>110128.21917808219</v>
      </c>
      <c r="R20" s="22">
        <f t="shared" si="2"/>
        <v>26766.684931506847</v>
      </c>
      <c r="S20" s="1" t="str">
        <f>IF(inizio-$A20&gt;0,"old","new")&amp;IF(F20&gt;0,"+","-")</f>
        <v>old+</v>
      </c>
    </row>
    <row r="21" spans="1:19" x14ac:dyDescent="0.25">
      <c r="A21" s="16">
        <v>44606</v>
      </c>
      <c r="B21" s="23">
        <v>20</v>
      </c>
      <c r="C21" s="14" t="s">
        <v>60</v>
      </c>
      <c r="D21" s="14" t="s">
        <v>81</v>
      </c>
      <c r="E21" s="15" t="s">
        <v>45</v>
      </c>
      <c r="F21" s="19">
        <v>256000</v>
      </c>
      <c r="G21" s="21">
        <v>-128025.60000000001</v>
      </c>
      <c r="H21" s="21">
        <v>-168960</v>
      </c>
      <c r="I21" s="2" t="str">
        <f>VLOOKUP($E21,Parametri!$E:$K,2,FALSE)</f>
        <v>Materiali</v>
      </c>
      <c r="J21" s="2" t="str">
        <f>VLOOKUP($E21,Parametri!$E:$K,3,FALSE)</f>
        <v>App. elettroniche produzione</v>
      </c>
      <c r="K21" s="20">
        <f t="shared" si="3"/>
        <v>127974.39999999999</v>
      </c>
      <c r="L21" s="20">
        <f t="shared" si="0"/>
        <v>87040</v>
      </c>
      <c r="M21" s="24">
        <f>VLOOKUP($E21,Parametri!$E:$K,5,FALSE)</f>
        <v>5.8082191780821926E-2</v>
      </c>
      <c r="N21" s="24">
        <f>VLOOKUP($E21,Parametri!$E:$K,7,FALSE)</f>
        <v>7.55068493150685E-2</v>
      </c>
      <c r="O21" s="20">
        <f t="shared" si="1"/>
        <v>-14869.041095890414</v>
      </c>
      <c r="P21" s="20">
        <f t="shared" si="1"/>
        <v>-19329.753424657534</v>
      </c>
      <c r="Q21" s="22">
        <f t="shared" si="2"/>
        <v>113105.35890410958</v>
      </c>
      <c r="R21" s="22">
        <f t="shared" si="2"/>
        <v>67710.246575342462</v>
      </c>
      <c r="S21" s="1" t="str">
        <f>IF(inizio-$A21&gt;0,"old","new")&amp;IF(F21&gt;0,"+","-")</f>
        <v>old+</v>
      </c>
    </row>
    <row r="22" spans="1:19" x14ac:dyDescent="0.25">
      <c r="A22" s="16">
        <v>44616</v>
      </c>
      <c r="B22" s="23">
        <v>21</v>
      </c>
      <c r="C22" s="14" t="s">
        <v>60</v>
      </c>
      <c r="D22" s="14" t="s">
        <v>82</v>
      </c>
      <c r="E22" s="15" t="s">
        <v>78</v>
      </c>
      <c r="F22" s="19">
        <v>327000</v>
      </c>
      <c r="G22" s="21">
        <v>-163532.70000000001</v>
      </c>
      <c r="H22" s="21">
        <v>-215820</v>
      </c>
      <c r="I22" s="2" t="str">
        <f>VLOOKUP($E22,Parametri!$E:$K,2,FALSE)</f>
        <v>Materiali</v>
      </c>
      <c r="J22" s="2" t="str">
        <f>VLOOKUP($E22,Parametri!$E:$K,3,FALSE)</f>
        <v>Macchine Elettroniche uff</v>
      </c>
      <c r="K22" s="20">
        <f t="shared" si="3"/>
        <v>163467.29999999999</v>
      </c>
      <c r="L22" s="20">
        <f t="shared" si="0"/>
        <v>111180</v>
      </c>
      <c r="M22" s="24">
        <f>VLOOKUP($E22,Parametri!$E:$K,5,FALSE)</f>
        <v>9.6823013698630125E-2</v>
      </c>
      <c r="N22" s="24">
        <f>VLOOKUP($E22,Parametri!$E:$K,7,FALSE)</f>
        <v>0.12778082191780821</v>
      </c>
      <c r="O22" s="20">
        <f t="shared" si="1"/>
        <v>-31661.12547945205</v>
      </c>
      <c r="P22" s="20">
        <f t="shared" si="1"/>
        <v>-41784.328767123283</v>
      </c>
      <c r="Q22" s="22">
        <f t="shared" si="2"/>
        <v>131806.17452054794</v>
      </c>
      <c r="R22" s="22">
        <f t="shared" si="2"/>
        <v>69395.671232876717</v>
      </c>
      <c r="S22" s="1" t="str">
        <f>IF(inizio-$A22&gt;0,"old","new")&amp;IF(F22&gt;0,"+","-")</f>
        <v>old+</v>
      </c>
    </row>
    <row r="23" spans="1:19" x14ac:dyDescent="0.25">
      <c r="A23" s="14">
        <v>44632</v>
      </c>
      <c r="B23" s="23">
        <v>22</v>
      </c>
      <c r="C23" s="14" t="s">
        <v>60</v>
      </c>
      <c r="D23" s="14" t="s">
        <v>81</v>
      </c>
      <c r="E23" s="15" t="s">
        <v>53</v>
      </c>
      <c r="F23" s="19">
        <v>134000</v>
      </c>
      <c r="G23" s="21">
        <v>-40200</v>
      </c>
      <c r="H23" s="21">
        <v>-52260</v>
      </c>
      <c r="I23" s="2" t="str">
        <f>VLOOKUP($E23,Parametri!$E:$K,2,FALSE)</f>
        <v>Materiali</v>
      </c>
      <c r="J23" s="2" t="str">
        <f>VLOOKUP($E23,Parametri!$E:$K,3,FALSE)</f>
        <v>Impianti di magazzino</v>
      </c>
      <c r="K23" s="20">
        <f t="shared" si="3"/>
        <v>93800</v>
      </c>
      <c r="L23" s="20">
        <f t="shared" si="0"/>
        <v>81740</v>
      </c>
      <c r="M23" s="24">
        <f>VLOOKUP($E23,Parametri!$E:$K,5,FALSE)</f>
        <v>4.8382465753424662E-2</v>
      </c>
      <c r="N23" s="24">
        <f>VLOOKUP($E23,Parametri!$E:$K,7,FALSE)</f>
        <v>6.3890410958904104E-2</v>
      </c>
      <c r="O23" s="20">
        <f t="shared" si="1"/>
        <v>-6483.2504109589045</v>
      </c>
      <c r="P23" s="20">
        <f t="shared" si="1"/>
        <v>-8561.3150684931497</v>
      </c>
      <c r="Q23" s="22">
        <f t="shared" si="2"/>
        <v>87316.749589041094</v>
      </c>
      <c r="R23" s="22">
        <f t="shared" si="2"/>
        <v>73178.684931506854</v>
      </c>
      <c r="S23" s="1" t="str">
        <f>IF(inizio-$A23&gt;0,"old","new")&amp;IF(F23&gt;0,"+","-")</f>
        <v>old+</v>
      </c>
    </row>
    <row r="24" spans="1:19" x14ac:dyDescent="0.25">
      <c r="A24" s="16">
        <v>44679</v>
      </c>
      <c r="B24" s="23">
        <v>23</v>
      </c>
      <c r="C24" s="14" t="s">
        <v>60</v>
      </c>
      <c r="D24" s="14" t="s">
        <v>75</v>
      </c>
      <c r="E24" s="15" t="s">
        <v>48</v>
      </c>
      <c r="F24" s="19">
        <v>226000</v>
      </c>
      <c r="G24" s="21">
        <v>-56477.4</v>
      </c>
      <c r="H24" s="21">
        <v>-74580</v>
      </c>
      <c r="I24" s="2" t="str">
        <f>VLOOKUP($E24,Parametri!$E:$K,2,FALSE)</f>
        <v>Materiali</v>
      </c>
      <c r="J24" s="2" t="str">
        <f>VLOOKUP($E24,Parametri!$E:$K,3,FALSE)</f>
        <v>Mobili e macchine da ufficio</v>
      </c>
      <c r="K24" s="20">
        <f t="shared" si="3"/>
        <v>169522.6</v>
      </c>
      <c r="L24" s="20">
        <f t="shared" si="0"/>
        <v>151420</v>
      </c>
      <c r="M24" s="24">
        <f>VLOOKUP($E24,Parametri!$E:$K,5,FALSE)</f>
        <v>3.874082191780822E-2</v>
      </c>
      <c r="N24" s="24">
        <f>VLOOKUP($E24,Parametri!$E:$K,7,FALSE)</f>
        <v>5.2273972602739721E-2</v>
      </c>
      <c r="O24" s="20">
        <f t="shared" si="1"/>
        <v>-8755.4257534246572</v>
      </c>
      <c r="P24" s="20">
        <f t="shared" si="1"/>
        <v>-11813.917808219177</v>
      </c>
      <c r="Q24" s="22">
        <f t="shared" si="2"/>
        <v>160767.17424657533</v>
      </c>
      <c r="R24" s="22">
        <f t="shared" si="2"/>
        <v>139606.08219178082</v>
      </c>
      <c r="S24" s="1" t="str">
        <f>IF(inizio-$A24&gt;0,"old","new")&amp;IF(F24&gt;0,"+","-")</f>
        <v>old+</v>
      </c>
    </row>
    <row r="25" spans="1:19" x14ac:dyDescent="0.25">
      <c r="A25" s="14">
        <v>44691</v>
      </c>
      <c r="B25" s="23">
        <v>24</v>
      </c>
      <c r="C25" s="14" t="s">
        <v>60</v>
      </c>
      <c r="D25" s="14" t="s">
        <v>75</v>
      </c>
      <c r="E25" s="15" t="s">
        <v>41</v>
      </c>
      <c r="F25" s="19">
        <v>138000</v>
      </c>
      <c r="G25" s="21">
        <v>-103500</v>
      </c>
      <c r="H25" s="21">
        <v>-136620</v>
      </c>
      <c r="I25" s="2" t="str">
        <f>VLOOKUP($E25,Parametri!$E:$K,2,FALSE)</f>
        <v>Immateriali</v>
      </c>
      <c r="J25" s="2" t="str">
        <f>VLOOKUP($E25,Parametri!$E:$K,3,FALSE)</f>
        <v>Costi acq. Ramo di azienda</v>
      </c>
      <c r="K25" s="20">
        <f t="shared" si="3"/>
        <v>34500</v>
      </c>
      <c r="L25" s="20">
        <f t="shared" si="0"/>
        <v>1380</v>
      </c>
      <c r="M25" s="24">
        <f>VLOOKUP($E25,Parametri!$E:$K,5,FALSE)</f>
        <v>0.11616438356164385</v>
      </c>
      <c r="N25" s="24">
        <f>VLOOKUP($E25,Parametri!$E:$K,7,FALSE)</f>
        <v>0.151013698630137</v>
      </c>
      <c r="O25" s="20">
        <f t="shared" si="1"/>
        <v>-16030.684931506852</v>
      </c>
      <c r="P25" s="20">
        <f t="shared" si="1"/>
        <v>-1380</v>
      </c>
      <c r="Q25" s="22">
        <f t="shared" si="2"/>
        <v>18469.315068493146</v>
      </c>
      <c r="R25" s="22">
        <f t="shared" si="2"/>
        <v>0</v>
      </c>
      <c r="S25" s="1" t="str">
        <f>IF(inizio-$A25&gt;0,"old","new")&amp;IF(F25&gt;0,"+","-")</f>
        <v>old+</v>
      </c>
    </row>
    <row r="26" spans="1:19" x14ac:dyDescent="0.25">
      <c r="A26" s="16">
        <v>44714</v>
      </c>
      <c r="B26" s="23">
        <v>25</v>
      </c>
      <c r="C26" s="14" t="s">
        <v>60</v>
      </c>
      <c r="D26" s="14" t="s">
        <v>82</v>
      </c>
      <c r="E26" s="15" t="s">
        <v>49</v>
      </c>
      <c r="F26" s="19">
        <v>219000</v>
      </c>
      <c r="G26" s="21">
        <v>-16425</v>
      </c>
      <c r="H26" s="21">
        <v>-19710</v>
      </c>
      <c r="I26" s="2" t="str">
        <f>VLOOKUP($E26,Parametri!$E:$K,2,FALSE)</f>
        <v>Materiali</v>
      </c>
      <c r="J26" s="2" t="str">
        <f>VLOOKUP($E26,Parametri!$E:$K,3,FALSE)</f>
        <v>Fabbricati industriali</v>
      </c>
      <c r="K26" s="20">
        <f t="shared" si="3"/>
        <v>202575</v>
      </c>
      <c r="L26" s="20">
        <f t="shared" si="0"/>
        <v>199290</v>
      </c>
      <c r="M26" s="24">
        <f>VLOOKUP($E26,Parametri!$E:$K,5,FALSE)</f>
        <v>1.4520547945205482E-2</v>
      </c>
      <c r="N26" s="24">
        <f>VLOOKUP($E26,Parametri!$E:$K,7,FALSE)</f>
        <v>1.7424657534246574E-2</v>
      </c>
      <c r="O26" s="20">
        <f t="shared" si="1"/>
        <v>-3180.0000000000005</v>
      </c>
      <c r="P26" s="20">
        <f t="shared" si="1"/>
        <v>-3815.9999999999995</v>
      </c>
      <c r="Q26" s="22">
        <f t="shared" si="2"/>
        <v>199395</v>
      </c>
      <c r="R26" s="22">
        <f t="shared" si="2"/>
        <v>195474</v>
      </c>
      <c r="S26" s="1" t="str">
        <f>IF(inizio-$A26&gt;0,"old","new")&amp;IF(F26&gt;0,"+","-")</f>
        <v>old+</v>
      </c>
    </row>
    <row r="27" spans="1:19" x14ac:dyDescent="0.25">
      <c r="A27" s="16">
        <v>44731</v>
      </c>
      <c r="B27" s="23">
        <v>26</v>
      </c>
      <c r="C27" s="14" t="s">
        <v>60</v>
      </c>
      <c r="D27" s="14" t="s">
        <v>82</v>
      </c>
      <c r="E27" s="15" t="s">
        <v>43</v>
      </c>
      <c r="F27" s="19">
        <v>228000</v>
      </c>
      <c r="G27" s="21">
        <v>-136800</v>
      </c>
      <c r="H27" s="21">
        <v>-177840</v>
      </c>
      <c r="I27" s="2" t="str">
        <f>VLOOKUP($E27,Parametri!$E:$K,2,FALSE)</f>
        <v>Immateriali</v>
      </c>
      <c r="J27" s="2" t="str">
        <f>VLOOKUP($E27,Parametri!$E:$K,3,FALSE)</f>
        <v>Marchi e Brevetti</v>
      </c>
      <c r="K27" s="20">
        <f t="shared" si="3"/>
        <v>91200</v>
      </c>
      <c r="L27" s="20">
        <f t="shared" si="0"/>
        <v>50160</v>
      </c>
      <c r="M27" s="24">
        <f>VLOOKUP($E27,Parametri!$E:$K,5,FALSE)</f>
        <v>0.14520547945205478</v>
      </c>
      <c r="N27" s="24">
        <f>VLOOKUP($E27,Parametri!$E:$K,7,FALSE)</f>
        <v>0.19167123287671234</v>
      </c>
      <c r="O27" s="20">
        <f t="shared" si="1"/>
        <v>-33106.849315068488</v>
      </c>
      <c r="P27" s="20">
        <f t="shared" si="1"/>
        <v>-43701.04109589041</v>
      </c>
      <c r="Q27" s="22">
        <f t="shared" si="2"/>
        <v>58093.150684931512</v>
      </c>
      <c r="R27" s="22">
        <f t="shared" si="2"/>
        <v>6458.9589041095896</v>
      </c>
      <c r="S27" s="1" t="str">
        <f>IF(inizio-$A27&gt;0,"old","new")&amp;IF(F27&gt;0,"+","-")</f>
        <v>old+</v>
      </c>
    </row>
    <row r="28" spans="1:19" x14ac:dyDescent="0.25">
      <c r="A28" s="14">
        <v>44744</v>
      </c>
      <c r="B28" s="23">
        <v>27</v>
      </c>
      <c r="C28" s="14" t="s">
        <v>60</v>
      </c>
      <c r="D28" s="14" t="s">
        <v>82</v>
      </c>
      <c r="E28" s="15" t="s">
        <v>45</v>
      </c>
      <c r="F28" s="19">
        <v>58000</v>
      </c>
      <c r="G28" s="21">
        <v>-29005.8</v>
      </c>
      <c r="H28" s="21">
        <v>-38280</v>
      </c>
      <c r="I28" s="2" t="str">
        <f>VLOOKUP($E28,Parametri!$E:$K,2,FALSE)</f>
        <v>Materiali</v>
      </c>
      <c r="J28" s="2" t="str">
        <f>VLOOKUP($E28,Parametri!$E:$K,3,FALSE)</f>
        <v>App. elettroniche produzione</v>
      </c>
      <c r="K28" s="20">
        <f t="shared" si="3"/>
        <v>28994.2</v>
      </c>
      <c r="L28" s="20">
        <f t="shared" si="0"/>
        <v>19720</v>
      </c>
      <c r="M28" s="24">
        <f>VLOOKUP($E28,Parametri!$E:$K,5,FALSE)</f>
        <v>5.8082191780821926E-2</v>
      </c>
      <c r="N28" s="24">
        <f>VLOOKUP($E28,Parametri!$E:$K,7,FALSE)</f>
        <v>7.55068493150685E-2</v>
      </c>
      <c r="O28" s="20">
        <f t="shared" si="1"/>
        <v>-3368.7671232876719</v>
      </c>
      <c r="P28" s="20">
        <f t="shared" si="1"/>
        <v>-4379.3972602739732</v>
      </c>
      <c r="Q28" s="22">
        <f t="shared" si="2"/>
        <v>25625.43287671233</v>
      </c>
      <c r="R28" s="22">
        <f t="shared" si="2"/>
        <v>15340.602739726026</v>
      </c>
      <c r="S28" s="1" t="str">
        <f>IF(inizio-$A28&gt;0,"old","new")&amp;IF(F28&gt;0,"+","-")</f>
        <v>old+</v>
      </c>
    </row>
    <row r="29" spans="1:19" x14ac:dyDescent="0.25">
      <c r="A29" s="16">
        <v>44749</v>
      </c>
      <c r="B29" s="23">
        <v>28</v>
      </c>
      <c r="C29" s="14" t="s">
        <v>60</v>
      </c>
      <c r="D29" s="14" t="s">
        <v>75</v>
      </c>
      <c r="E29" s="15" t="s">
        <v>37</v>
      </c>
      <c r="F29" s="19">
        <v>7000</v>
      </c>
      <c r="G29" s="21">
        <v>-1400.7</v>
      </c>
      <c r="H29" s="21">
        <v>-1890</v>
      </c>
      <c r="I29" s="2" t="str">
        <f>VLOOKUP($E29,Parametri!$E:$K,2,FALSE)</f>
        <v>Materiali</v>
      </c>
      <c r="J29" s="2" t="str">
        <f>VLOOKUP($E29,Parametri!$E:$K,3,FALSE)</f>
        <v>Impianto allarme</v>
      </c>
      <c r="K29" s="20">
        <f t="shared" si="3"/>
        <v>5599.3</v>
      </c>
      <c r="L29" s="20">
        <f t="shared" si="0"/>
        <v>5110</v>
      </c>
      <c r="M29" s="24">
        <f>VLOOKUP($E29,Parametri!$E:$K,5,FALSE)</f>
        <v>2.9041095890410963E-2</v>
      </c>
      <c r="N29" s="24">
        <f>VLOOKUP($E29,Parametri!$E:$K,7,FALSE)</f>
        <v>4.0657534246575346E-2</v>
      </c>
      <c r="O29" s="20">
        <f t="shared" si="1"/>
        <v>-203.28767123287673</v>
      </c>
      <c r="P29" s="20">
        <f t="shared" si="1"/>
        <v>-284.60273972602744</v>
      </c>
      <c r="Q29" s="22">
        <f t="shared" si="2"/>
        <v>5396.0123287671231</v>
      </c>
      <c r="R29" s="22">
        <f t="shared" si="2"/>
        <v>4825.3972602739723</v>
      </c>
      <c r="S29" s="1" t="str">
        <f>IF(inizio-$A29&gt;0,"old","new")&amp;IF(F29&gt;0,"+","-")</f>
        <v>old+</v>
      </c>
    </row>
    <row r="30" spans="1:19" x14ac:dyDescent="0.25">
      <c r="A30" s="14">
        <v>44752</v>
      </c>
      <c r="B30" s="23">
        <v>29</v>
      </c>
      <c r="C30" s="14" t="s">
        <v>60</v>
      </c>
      <c r="D30" s="14" t="s">
        <v>81</v>
      </c>
      <c r="E30" s="15" t="s">
        <v>50</v>
      </c>
      <c r="F30" s="19">
        <v>307000</v>
      </c>
      <c r="G30" s="21">
        <v>-184200</v>
      </c>
      <c r="H30" s="21">
        <v>-239460</v>
      </c>
      <c r="I30" s="2" t="str">
        <f>VLOOKUP($E30,Parametri!$E:$K,2,FALSE)</f>
        <v>Immateriali</v>
      </c>
      <c r="J30" s="2" t="str">
        <f>VLOOKUP($E30,Parametri!$E:$K,3,FALSE)</f>
        <v>Avviamento</v>
      </c>
      <c r="K30" s="20">
        <f t="shared" si="3"/>
        <v>122800</v>
      </c>
      <c r="L30" s="20">
        <f t="shared" si="0"/>
        <v>67540</v>
      </c>
      <c r="M30" s="24">
        <f>VLOOKUP($E30,Parametri!$E:$K,5,FALSE)</f>
        <v>0.11616438356164385</v>
      </c>
      <c r="N30" s="24">
        <f>VLOOKUP($E30,Parametri!$E:$K,7,FALSE)</f>
        <v>0.151013698630137</v>
      </c>
      <c r="O30" s="20">
        <f t="shared" si="1"/>
        <v>-35662.465753424665</v>
      </c>
      <c r="P30" s="20">
        <f t="shared" si="1"/>
        <v>-46361.205479452059</v>
      </c>
      <c r="Q30" s="22">
        <f t="shared" si="2"/>
        <v>87137.534246575335</v>
      </c>
      <c r="R30" s="22">
        <f t="shared" si="2"/>
        <v>21178.794520547941</v>
      </c>
      <c r="S30" s="1" t="str">
        <f>IF(inizio-$A30&gt;0,"old","new")&amp;IF(F30&gt;0,"+","-")</f>
        <v>old+</v>
      </c>
    </row>
    <row r="31" spans="1:19" x14ac:dyDescent="0.25">
      <c r="A31" s="14">
        <v>44771</v>
      </c>
      <c r="B31" s="23">
        <v>30</v>
      </c>
      <c r="C31" s="14" t="s">
        <v>60</v>
      </c>
      <c r="D31" s="14" t="s">
        <v>75</v>
      </c>
      <c r="E31" s="15" t="s">
        <v>79</v>
      </c>
      <c r="F31" s="19">
        <v>34000</v>
      </c>
      <c r="G31" s="21">
        <v>-20400</v>
      </c>
      <c r="H31" s="21">
        <v>-26520</v>
      </c>
      <c r="I31" s="2" t="str">
        <f>VLOOKUP($E31,Parametri!$E:$K,2,FALSE)</f>
        <v>Materiali</v>
      </c>
      <c r="J31" s="2" t="str">
        <f>VLOOKUP($E31,Parametri!$E:$K,3,FALSE)</f>
        <v>Impianti specifici</v>
      </c>
      <c r="K31" s="20">
        <f t="shared" si="3"/>
        <v>13600</v>
      </c>
      <c r="L31" s="20">
        <f t="shared" si="0"/>
        <v>7480</v>
      </c>
      <c r="M31" s="24">
        <f>VLOOKUP($E31,Parametri!$E:$K,5,FALSE)</f>
        <v>3.874082191780822E-2</v>
      </c>
      <c r="N31" s="24">
        <f>VLOOKUP($E31,Parametri!$E:$K,7,FALSE)</f>
        <v>5.2273972602739721E-2</v>
      </c>
      <c r="O31" s="20">
        <f t="shared" si="1"/>
        <v>-1317.1879452054795</v>
      </c>
      <c r="P31" s="20">
        <f t="shared" si="1"/>
        <v>-1777.3150684931504</v>
      </c>
      <c r="Q31" s="22">
        <f t="shared" si="2"/>
        <v>12282.81205479452</v>
      </c>
      <c r="R31" s="22">
        <f t="shared" si="2"/>
        <v>5702.6849315068494</v>
      </c>
      <c r="S31" s="1" t="str">
        <f>IF(inizio-$A31&gt;0,"old","new")&amp;IF(F31&gt;0,"+","-")</f>
        <v>old+</v>
      </c>
    </row>
    <row r="32" spans="1:19" x14ac:dyDescent="0.25">
      <c r="A32" s="16">
        <v>44790</v>
      </c>
      <c r="B32" s="23">
        <v>31</v>
      </c>
      <c r="C32" s="14" t="s">
        <v>60</v>
      </c>
      <c r="D32" s="14" t="s">
        <v>75</v>
      </c>
      <c r="E32" s="15" t="s">
        <v>37</v>
      </c>
      <c r="F32" s="19">
        <v>174000</v>
      </c>
      <c r="G32" s="21">
        <v>-34817.4</v>
      </c>
      <c r="H32" s="21">
        <v>-46980</v>
      </c>
      <c r="I32" s="2" t="str">
        <f>VLOOKUP($E32,Parametri!$E:$K,2,FALSE)</f>
        <v>Materiali</v>
      </c>
      <c r="J32" s="2" t="str">
        <f>VLOOKUP($E32,Parametri!$E:$K,3,FALSE)</f>
        <v>Impianto allarme</v>
      </c>
      <c r="K32" s="20">
        <f t="shared" si="3"/>
        <v>139182.6</v>
      </c>
      <c r="L32" s="20">
        <f t="shared" si="0"/>
        <v>127020</v>
      </c>
      <c r="M32" s="24">
        <f>VLOOKUP($E32,Parametri!$E:$K,5,FALSE)</f>
        <v>2.9041095890410963E-2</v>
      </c>
      <c r="N32" s="24">
        <f>VLOOKUP($E32,Parametri!$E:$K,7,FALSE)</f>
        <v>4.0657534246575346E-2</v>
      </c>
      <c r="O32" s="20">
        <f t="shared" si="1"/>
        <v>-5053.1506849315074</v>
      </c>
      <c r="P32" s="20">
        <f t="shared" si="1"/>
        <v>-7074.41095890411</v>
      </c>
      <c r="Q32" s="22">
        <f t="shared" si="2"/>
        <v>134129.44931506849</v>
      </c>
      <c r="R32" s="22">
        <f t="shared" si="2"/>
        <v>119945.5890410959</v>
      </c>
      <c r="S32" s="1" t="str">
        <f>IF(inizio-$A32&gt;0,"old","new")&amp;IF(F32&gt;0,"+","-")</f>
        <v>old+</v>
      </c>
    </row>
    <row r="33" spans="1:19" x14ac:dyDescent="0.25">
      <c r="A33" s="14">
        <v>44829</v>
      </c>
      <c r="B33" s="23">
        <v>32</v>
      </c>
      <c r="C33" s="14" t="s">
        <v>60</v>
      </c>
      <c r="D33" s="14" t="s">
        <v>81</v>
      </c>
      <c r="E33" s="15" t="s">
        <v>51</v>
      </c>
      <c r="F33" s="19">
        <v>84000</v>
      </c>
      <c r="G33" s="21">
        <v>-12600</v>
      </c>
      <c r="H33" s="21">
        <v>-17640</v>
      </c>
      <c r="I33" s="2" t="str">
        <f>VLOOKUP($E33,Parametri!$E:$K,2,FALSE)</f>
        <v>Materiali</v>
      </c>
      <c r="J33" s="2" t="str">
        <f>VLOOKUP($E33,Parametri!$E:$K,3,FALSE)</f>
        <v>Costruzioni leggere</v>
      </c>
      <c r="K33" s="20">
        <f t="shared" si="3"/>
        <v>71400</v>
      </c>
      <c r="L33" s="20">
        <f t="shared" si="0"/>
        <v>66360</v>
      </c>
      <c r="M33" s="24">
        <f>VLOOKUP($E33,Parametri!$E:$K,5,FALSE)</f>
        <v>2.9041095890410963E-2</v>
      </c>
      <c r="N33" s="24">
        <f>VLOOKUP($E33,Parametri!$E:$K,7,FALSE)</f>
        <v>4.0657534246575346E-2</v>
      </c>
      <c r="O33" s="20">
        <f t="shared" si="1"/>
        <v>-2439.4520547945208</v>
      </c>
      <c r="P33" s="20">
        <f t="shared" si="1"/>
        <v>-3415.232876712329</v>
      </c>
      <c r="Q33" s="22">
        <f t="shared" si="2"/>
        <v>68960.547945205486</v>
      </c>
      <c r="R33" s="22">
        <f t="shared" si="2"/>
        <v>62944.767123287675</v>
      </c>
      <c r="S33" s="1" t="str">
        <f>IF(inizio-$A33&gt;0,"old","new")&amp;IF(F33&gt;0,"+","-")</f>
        <v>old+</v>
      </c>
    </row>
    <row r="34" spans="1:19" x14ac:dyDescent="0.25">
      <c r="A34" s="16">
        <v>44865</v>
      </c>
      <c r="B34" s="23">
        <v>33</v>
      </c>
      <c r="C34" s="14" t="s">
        <v>60</v>
      </c>
      <c r="D34" s="14" t="s">
        <v>81</v>
      </c>
      <c r="E34" s="15" t="s">
        <v>42</v>
      </c>
      <c r="F34" s="19">
        <v>364000</v>
      </c>
      <c r="G34" s="21">
        <v>-72836.399999999994</v>
      </c>
      <c r="H34" s="21">
        <v>-98280</v>
      </c>
      <c r="I34" s="2" t="str">
        <f>VLOOKUP($E34,Parametri!$E:$K,2,FALSE)</f>
        <v>Materiali</v>
      </c>
      <c r="J34" s="2" t="str">
        <f>VLOOKUP($E34,Parametri!$E:$K,3,FALSE)</f>
        <v>Automezzi</v>
      </c>
      <c r="K34" s="20">
        <f t="shared" si="3"/>
        <v>291163.59999999998</v>
      </c>
      <c r="L34" s="20">
        <f t="shared" si="0"/>
        <v>265720</v>
      </c>
      <c r="M34" s="24">
        <f>VLOOKUP($E34,Parametri!$E:$K,5,FALSE)</f>
        <v>0.14520547945205478</v>
      </c>
      <c r="N34" s="24">
        <f>VLOOKUP($E34,Parametri!$E:$K,7,FALSE)</f>
        <v>0.19167123287671234</v>
      </c>
      <c r="O34" s="20">
        <f t="shared" ref="O34:P56" si="4">-IF(M34*$F34&gt;K34,K34,M34*$F34)*IF(inizio-$A34&gt;0,1,IF(metodo="C",50%,(analisi-$A34)/gganno))</f>
        <v>-52854.794520547941</v>
      </c>
      <c r="P34" s="20">
        <f t="shared" si="4"/>
        <v>-69768.328767123297</v>
      </c>
      <c r="Q34" s="22">
        <f t="shared" ref="Q34:R56" si="5">$F34+G34+O34</f>
        <v>238308.80547945204</v>
      </c>
      <c r="R34" s="22">
        <f t="shared" si="5"/>
        <v>195951.67123287672</v>
      </c>
      <c r="S34" s="1" t="str">
        <f>IF(inizio-$A34&gt;0,"old","new")&amp;IF(F34&gt;0,"+","-")</f>
        <v>old+</v>
      </c>
    </row>
    <row r="35" spans="1:19" x14ac:dyDescent="0.25">
      <c r="A35" s="16">
        <v>44875</v>
      </c>
      <c r="B35" s="23">
        <v>34</v>
      </c>
      <c r="C35" s="14" t="s">
        <v>60</v>
      </c>
      <c r="D35" s="14" t="s">
        <v>82</v>
      </c>
      <c r="E35" s="15" t="s">
        <v>48</v>
      </c>
      <c r="F35" s="19">
        <v>206000</v>
      </c>
      <c r="G35" s="21">
        <v>-51479.4</v>
      </c>
      <c r="H35" s="21">
        <v>-67980</v>
      </c>
      <c r="I35" s="2" t="str">
        <f>VLOOKUP($E35,Parametri!$E:$K,2,FALSE)</f>
        <v>Materiali</v>
      </c>
      <c r="J35" s="2" t="str">
        <f>VLOOKUP($E35,Parametri!$E:$K,3,FALSE)</f>
        <v>Mobili e macchine da ufficio</v>
      </c>
      <c r="K35" s="20">
        <f t="shared" si="3"/>
        <v>154520.6</v>
      </c>
      <c r="L35" s="20">
        <f t="shared" si="0"/>
        <v>138020</v>
      </c>
      <c r="M35" s="24">
        <f>VLOOKUP($E35,Parametri!$E:$K,5,FALSE)</f>
        <v>3.874082191780822E-2</v>
      </c>
      <c r="N35" s="24">
        <f>VLOOKUP($E35,Parametri!$E:$K,7,FALSE)</f>
        <v>5.2273972602739721E-2</v>
      </c>
      <c r="O35" s="20">
        <f t="shared" si="4"/>
        <v>-7980.6093150684937</v>
      </c>
      <c r="P35" s="20">
        <f t="shared" si="4"/>
        <v>-10768.438356164383</v>
      </c>
      <c r="Q35" s="22">
        <f t="shared" si="5"/>
        <v>146539.99068493152</v>
      </c>
      <c r="R35" s="22">
        <f t="shared" si="5"/>
        <v>127251.56164383562</v>
      </c>
      <c r="S35" s="1" t="str">
        <f>IF(inizio-$A35&gt;0,"old","new")&amp;IF(F35&gt;0,"+","-")</f>
        <v>old+</v>
      </c>
    </row>
    <row r="36" spans="1:19" x14ac:dyDescent="0.25">
      <c r="A36" s="16">
        <v>44908</v>
      </c>
      <c r="B36" s="23">
        <v>35</v>
      </c>
      <c r="C36" s="14" t="s">
        <v>60</v>
      </c>
      <c r="D36" s="14" t="s">
        <v>81</v>
      </c>
      <c r="E36" s="15" t="s">
        <v>46</v>
      </c>
      <c r="F36" s="19">
        <v>199000</v>
      </c>
      <c r="G36" s="21">
        <v>-119400</v>
      </c>
      <c r="H36" s="21">
        <v>-155220</v>
      </c>
      <c r="I36" s="2" t="str">
        <f>VLOOKUP($E36,Parametri!$E:$K,2,FALSE)</f>
        <v>Immateriali</v>
      </c>
      <c r="J36" s="2" t="str">
        <f>VLOOKUP($E36,Parametri!$E:$K,3,FALSE)</f>
        <v>Avanzo di fusione</v>
      </c>
      <c r="K36" s="20">
        <f t="shared" si="3"/>
        <v>79600</v>
      </c>
      <c r="L36" s="20">
        <f t="shared" si="0"/>
        <v>43780</v>
      </c>
      <c r="M36" s="24">
        <f>VLOOKUP($E36,Parametri!$E:$K,5,FALSE)</f>
        <v>0.11616438356164385</v>
      </c>
      <c r="N36" s="24">
        <f>VLOOKUP($E36,Parametri!$E:$K,7,FALSE)</f>
        <v>0.151013698630137</v>
      </c>
      <c r="O36" s="20">
        <f t="shared" si="4"/>
        <v>-23116.712328767127</v>
      </c>
      <c r="P36" s="20">
        <f t="shared" si="4"/>
        <v>-30051.726027397264</v>
      </c>
      <c r="Q36" s="22">
        <f t="shared" si="5"/>
        <v>56483.287671232873</v>
      </c>
      <c r="R36" s="22">
        <f t="shared" si="5"/>
        <v>13728.273972602736</v>
      </c>
      <c r="S36" s="1" t="str">
        <f>IF(inizio-$A36&gt;0,"old","new")&amp;IF(F36&gt;0,"+","-")</f>
        <v>old+</v>
      </c>
    </row>
    <row r="37" spans="1:19" x14ac:dyDescent="0.25">
      <c r="A37" s="14">
        <v>44937</v>
      </c>
      <c r="B37" s="23">
        <v>36</v>
      </c>
      <c r="C37" s="14" t="s">
        <v>60</v>
      </c>
      <c r="D37" s="14" t="s">
        <v>82</v>
      </c>
      <c r="E37" s="15" t="s">
        <v>48</v>
      </c>
      <c r="F37" s="19">
        <v>83000</v>
      </c>
      <c r="G37" s="21">
        <v>-13827.8</v>
      </c>
      <c r="H37" s="21">
        <v>-18260</v>
      </c>
      <c r="I37" s="2" t="str">
        <f>VLOOKUP($E37,Parametri!$E:$K,2,FALSE)</f>
        <v>Materiali</v>
      </c>
      <c r="J37" s="2" t="str">
        <f>VLOOKUP($E37,Parametri!$E:$K,3,FALSE)</f>
        <v>Mobili e macchine da ufficio</v>
      </c>
      <c r="K37" s="20">
        <f t="shared" si="3"/>
        <v>69172.2</v>
      </c>
      <c r="L37" s="20">
        <f t="shared" si="0"/>
        <v>64740</v>
      </c>
      <c r="M37" s="24">
        <f>VLOOKUP($E37,Parametri!$E:$K,5,FALSE)</f>
        <v>3.874082191780822E-2</v>
      </c>
      <c r="N37" s="24">
        <f>VLOOKUP($E37,Parametri!$E:$K,7,FALSE)</f>
        <v>5.2273972602739721E-2</v>
      </c>
      <c r="O37" s="20">
        <f t="shared" si="4"/>
        <v>-3215.4882191780821</v>
      </c>
      <c r="P37" s="20">
        <f t="shared" si="4"/>
        <v>-4338.7397260273965</v>
      </c>
      <c r="Q37" s="22">
        <f t="shared" si="5"/>
        <v>65956.711780821919</v>
      </c>
      <c r="R37" s="22">
        <f t="shared" si="5"/>
        <v>60401.260273972606</v>
      </c>
      <c r="S37" s="1" t="str">
        <f>IF(inizio-$A37&gt;0,"old","new")&amp;IF(F37&gt;0,"+","-")</f>
        <v>old+</v>
      </c>
    </row>
    <row r="38" spans="1:19" x14ac:dyDescent="0.25">
      <c r="A38" s="14">
        <v>44956</v>
      </c>
      <c r="B38" s="23">
        <v>37</v>
      </c>
      <c r="C38" s="14" t="s">
        <v>60</v>
      </c>
      <c r="D38" s="14" t="s">
        <v>82</v>
      </c>
      <c r="E38" s="15" t="s">
        <v>48</v>
      </c>
      <c r="F38" s="19">
        <v>358000</v>
      </c>
      <c r="G38" s="21">
        <v>-59642.8</v>
      </c>
      <c r="H38" s="21">
        <v>-78760</v>
      </c>
      <c r="I38" s="2" t="str">
        <f>VLOOKUP($E38,Parametri!$E:$K,2,FALSE)</f>
        <v>Materiali</v>
      </c>
      <c r="J38" s="2" t="str">
        <f>VLOOKUP($E38,Parametri!$E:$K,3,FALSE)</f>
        <v>Mobili e macchine da ufficio</v>
      </c>
      <c r="K38" s="20">
        <f t="shared" si="3"/>
        <v>298357.2</v>
      </c>
      <c r="L38" s="20">
        <f t="shared" si="0"/>
        <v>279240</v>
      </c>
      <c r="M38" s="24">
        <f>VLOOKUP($E38,Parametri!$E:$K,5,FALSE)</f>
        <v>3.874082191780822E-2</v>
      </c>
      <c r="N38" s="24">
        <f>VLOOKUP($E38,Parametri!$E:$K,7,FALSE)</f>
        <v>5.2273972602739721E-2</v>
      </c>
      <c r="O38" s="20">
        <f t="shared" si="4"/>
        <v>-13869.214246575342</v>
      </c>
      <c r="P38" s="20">
        <f t="shared" si="4"/>
        <v>-18714.082191780821</v>
      </c>
      <c r="Q38" s="22">
        <f t="shared" si="5"/>
        <v>284487.9857534247</v>
      </c>
      <c r="R38" s="22">
        <f t="shared" si="5"/>
        <v>260525.91780821918</v>
      </c>
      <c r="S38" s="1" t="str">
        <f>IF(inizio-$A38&gt;0,"old","new")&amp;IF(F38&gt;0,"+","-")</f>
        <v>old+</v>
      </c>
    </row>
    <row r="39" spans="1:19" x14ac:dyDescent="0.25">
      <c r="A39" s="16">
        <v>44962</v>
      </c>
      <c r="B39" s="23">
        <v>38</v>
      </c>
      <c r="C39" s="14" t="s">
        <v>60</v>
      </c>
      <c r="D39" s="14" t="s">
        <v>75</v>
      </c>
      <c r="E39" s="15" t="s">
        <v>45</v>
      </c>
      <c r="F39" s="19">
        <v>186000</v>
      </c>
      <c r="G39" s="21">
        <v>-62012.4</v>
      </c>
      <c r="H39" s="21">
        <v>-81840</v>
      </c>
      <c r="I39" s="2" t="str">
        <f>VLOOKUP($E39,Parametri!$E:$K,2,FALSE)</f>
        <v>Materiali</v>
      </c>
      <c r="J39" s="2" t="str">
        <f>VLOOKUP($E39,Parametri!$E:$K,3,FALSE)</f>
        <v>App. elettroniche produzione</v>
      </c>
      <c r="K39" s="20">
        <f t="shared" si="3"/>
        <v>123987.6</v>
      </c>
      <c r="L39" s="20">
        <f t="shared" si="0"/>
        <v>104160</v>
      </c>
      <c r="M39" s="24">
        <f>VLOOKUP($E39,Parametri!$E:$K,5,FALSE)</f>
        <v>5.8082191780821926E-2</v>
      </c>
      <c r="N39" s="24">
        <f>VLOOKUP($E39,Parametri!$E:$K,7,FALSE)</f>
        <v>7.55068493150685E-2</v>
      </c>
      <c r="O39" s="20">
        <f t="shared" si="4"/>
        <v>-10803.287671232878</v>
      </c>
      <c r="P39" s="20">
        <f t="shared" si="4"/>
        <v>-14044.273972602741</v>
      </c>
      <c r="Q39" s="22">
        <f t="shared" si="5"/>
        <v>113184.31232876713</v>
      </c>
      <c r="R39" s="22">
        <f t="shared" si="5"/>
        <v>90115.726027397264</v>
      </c>
      <c r="S39" s="1" t="str">
        <f>IF(inizio-$A39&gt;0,"old","new")&amp;IF(F39&gt;0,"+","-")</f>
        <v>old+</v>
      </c>
    </row>
    <row r="40" spans="1:19" x14ac:dyDescent="0.25">
      <c r="A40" s="16">
        <v>45025</v>
      </c>
      <c r="B40" s="23">
        <v>39</v>
      </c>
      <c r="C40" s="14" t="s">
        <v>60</v>
      </c>
      <c r="D40" s="14" t="s">
        <v>75</v>
      </c>
      <c r="E40" s="15" t="s">
        <v>48</v>
      </c>
      <c r="F40" s="19">
        <v>301000</v>
      </c>
      <c r="G40" s="21">
        <v>-50146.6</v>
      </c>
      <c r="H40" s="21">
        <v>-66220</v>
      </c>
      <c r="I40" s="2" t="str">
        <f>VLOOKUP($E40,Parametri!$E:$K,2,FALSE)</f>
        <v>Materiali</v>
      </c>
      <c r="J40" s="2" t="str">
        <f>VLOOKUP($E40,Parametri!$E:$K,3,FALSE)</f>
        <v>Mobili e macchine da ufficio</v>
      </c>
      <c r="K40" s="20">
        <f t="shared" si="3"/>
        <v>250853.4</v>
      </c>
      <c r="L40" s="20">
        <f t="shared" si="0"/>
        <v>234780</v>
      </c>
      <c r="M40" s="24">
        <f>VLOOKUP($E40,Parametri!$E:$K,5,FALSE)</f>
        <v>3.874082191780822E-2</v>
      </c>
      <c r="N40" s="24">
        <f>VLOOKUP($E40,Parametri!$E:$K,7,FALSE)</f>
        <v>5.2273972602739721E-2</v>
      </c>
      <c r="O40" s="20">
        <f t="shared" si="4"/>
        <v>-11660.987397260275</v>
      </c>
      <c r="P40" s="20">
        <f t="shared" si="4"/>
        <v>-15734.465753424656</v>
      </c>
      <c r="Q40" s="22">
        <f t="shared" si="5"/>
        <v>239192.41260273973</v>
      </c>
      <c r="R40" s="22">
        <f t="shared" si="5"/>
        <v>219045.53424657535</v>
      </c>
      <c r="S40" s="1" t="str">
        <f>IF(inizio-$A40&gt;0,"old","new")&amp;IF(F40&gt;0,"+","-")</f>
        <v>old+</v>
      </c>
    </row>
    <row r="41" spans="1:19" x14ac:dyDescent="0.25">
      <c r="A41" s="14">
        <v>45060</v>
      </c>
      <c r="B41" s="23">
        <v>40</v>
      </c>
      <c r="C41" s="14" t="s">
        <v>60</v>
      </c>
      <c r="D41" s="14" t="s">
        <v>75</v>
      </c>
      <c r="E41" s="15" t="s">
        <v>38</v>
      </c>
      <c r="F41" s="19">
        <v>301000</v>
      </c>
      <c r="G41" s="21">
        <v>-50146.6</v>
      </c>
      <c r="H41" s="21">
        <v>-66220</v>
      </c>
      <c r="I41" s="2" t="str">
        <f>VLOOKUP($E41,Parametri!$E:$K,2,FALSE)</f>
        <v>Materiali</v>
      </c>
      <c r="J41" s="2" t="str">
        <f>VLOOKUP($E41,Parametri!$E:$K,3,FALSE)</f>
        <v>Stampi</v>
      </c>
      <c r="K41" s="20">
        <f t="shared" si="3"/>
        <v>250853.4</v>
      </c>
      <c r="L41" s="20">
        <f t="shared" si="0"/>
        <v>234780</v>
      </c>
      <c r="M41" s="24">
        <f>VLOOKUP($E41,Parametri!$E:$K,5,FALSE)</f>
        <v>0.11616438356164385</v>
      </c>
      <c r="N41" s="24">
        <f>VLOOKUP($E41,Parametri!$E:$K,7,FALSE)</f>
        <v>0.151013698630137</v>
      </c>
      <c r="O41" s="20">
        <f t="shared" si="4"/>
        <v>-34965.479452054802</v>
      </c>
      <c r="P41" s="20">
        <f t="shared" si="4"/>
        <v>-45455.123287671238</v>
      </c>
      <c r="Q41" s="22">
        <f t="shared" si="5"/>
        <v>215887.92054794519</v>
      </c>
      <c r="R41" s="22">
        <f t="shared" si="5"/>
        <v>189324.87671232875</v>
      </c>
      <c r="S41" s="1" t="str">
        <f>IF(inizio-$A41&gt;0,"old","new")&amp;IF(F41&gt;0,"+","-")</f>
        <v>old+</v>
      </c>
    </row>
    <row r="42" spans="1:19" x14ac:dyDescent="0.25">
      <c r="A42" s="14">
        <v>45086</v>
      </c>
      <c r="B42" s="23">
        <v>41</v>
      </c>
      <c r="C42" s="14" t="s">
        <v>60</v>
      </c>
      <c r="D42" s="14" t="s">
        <v>75</v>
      </c>
      <c r="E42" s="15" t="s">
        <v>41</v>
      </c>
      <c r="F42" s="19">
        <v>277000</v>
      </c>
      <c r="G42" s="21">
        <v>-138500</v>
      </c>
      <c r="H42" s="21">
        <v>-182820</v>
      </c>
      <c r="I42" s="2" t="str">
        <f>VLOOKUP($E42,Parametri!$E:$K,2,FALSE)</f>
        <v>Immateriali</v>
      </c>
      <c r="J42" s="2" t="str">
        <f>VLOOKUP($E42,Parametri!$E:$K,3,FALSE)</f>
        <v>Costi acq. Ramo di azienda</v>
      </c>
      <c r="K42" s="20">
        <f t="shared" si="3"/>
        <v>138500</v>
      </c>
      <c r="L42" s="20">
        <f t="shared" si="0"/>
        <v>94180</v>
      </c>
      <c r="M42" s="24">
        <f>VLOOKUP($E42,Parametri!$E:$K,5,FALSE)</f>
        <v>0.11616438356164385</v>
      </c>
      <c r="N42" s="24">
        <f>VLOOKUP($E42,Parametri!$E:$K,7,FALSE)</f>
        <v>0.151013698630137</v>
      </c>
      <c r="O42" s="20">
        <f t="shared" si="4"/>
        <v>-32177.534246575346</v>
      </c>
      <c r="P42" s="20">
        <f t="shared" si="4"/>
        <v>-41830.794520547948</v>
      </c>
      <c r="Q42" s="22">
        <f t="shared" si="5"/>
        <v>106322.46575342465</v>
      </c>
      <c r="R42" s="22">
        <f t="shared" si="5"/>
        <v>52349.205479452052</v>
      </c>
      <c r="S42" s="1" t="str">
        <f>IF(inizio-$A42&gt;0,"old","new")&amp;IF(F42&gt;0,"+","-")</f>
        <v>old+</v>
      </c>
    </row>
    <row r="43" spans="1:19" x14ac:dyDescent="0.25">
      <c r="A43" s="16">
        <v>45099</v>
      </c>
      <c r="B43" s="23">
        <v>42</v>
      </c>
      <c r="C43" s="14" t="s">
        <v>60</v>
      </c>
      <c r="D43" s="14" t="s">
        <v>82</v>
      </c>
      <c r="E43" s="15" t="s">
        <v>38</v>
      </c>
      <c r="F43" s="19">
        <v>282000</v>
      </c>
      <c r="G43" s="21">
        <v>-46981.2</v>
      </c>
      <c r="H43" s="21">
        <v>-62040</v>
      </c>
      <c r="I43" s="2" t="str">
        <f>VLOOKUP($E43,Parametri!$E:$K,2,FALSE)</f>
        <v>Materiali</v>
      </c>
      <c r="J43" s="2" t="str">
        <f>VLOOKUP($E43,Parametri!$E:$K,3,FALSE)</f>
        <v>Stampi</v>
      </c>
      <c r="K43" s="20">
        <f t="shared" si="3"/>
        <v>235018.8</v>
      </c>
      <c r="L43" s="20">
        <f t="shared" si="0"/>
        <v>219960</v>
      </c>
      <c r="M43" s="24">
        <f>VLOOKUP($E43,Parametri!$E:$K,5,FALSE)</f>
        <v>0.11616438356164385</v>
      </c>
      <c r="N43" s="24">
        <f>VLOOKUP($E43,Parametri!$E:$K,7,FALSE)</f>
        <v>0.151013698630137</v>
      </c>
      <c r="O43" s="20">
        <f t="shared" si="4"/>
        <v>-32758.356164383567</v>
      </c>
      <c r="P43" s="20">
        <f t="shared" si="4"/>
        <v>-42585.863013698632</v>
      </c>
      <c r="Q43" s="22">
        <f t="shared" si="5"/>
        <v>202260.44383561643</v>
      </c>
      <c r="R43" s="22">
        <f t="shared" si="5"/>
        <v>177374.13698630137</v>
      </c>
      <c r="S43" s="1" t="str">
        <f>IF(inizio-$A43&gt;0,"old","new")&amp;IF(F43&gt;0,"+","-")</f>
        <v>old+</v>
      </c>
    </row>
    <row r="44" spans="1:19" x14ac:dyDescent="0.25">
      <c r="A44" s="14">
        <v>45102</v>
      </c>
      <c r="B44" s="23">
        <v>43</v>
      </c>
      <c r="C44" s="14" t="s">
        <v>60</v>
      </c>
      <c r="D44" s="14" t="s">
        <v>75</v>
      </c>
      <c r="E44" s="15" t="s">
        <v>37</v>
      </c>
      <c r="F44" s="19">
        <v>252000</v>
      </c>
      <c r="G44" s="21">
        <v>-33616.800000000003</v>
      </c>
      <c r="H44" s="21">
        <v>-45360</v>
      </c>
      <c r="I44" s="2" t="str">
        <f>VLOOKUP($E44,Parametri!$E:$K,2,FALSE)</f>
        <v>Materiali</v>
      </c>
      <c r="J44" s="2" t="str">
        <f>VLOOKUP($E44,Parametri!$E:$K,3,FALSE)</f>
        <v>Impianto allarme</v>
      </c>
      <c r="K44" s="20">
        <f t="shared" si="3"/>
        <v>218383.2</v>
      </c>
      <c r="L44" s="20">
        <f t="shared" si="0"/>
        <v>206640</v>
      </c>
      <c r="M44" s="24">
        <f>VLOOKUP($E44,Parametri!$E:$K,5,FALSE)</f>
        <v>2.9041095890410963E-2</v>
      </c>
      <c r="N44" s="24">
        <f>VLOOKUP($E44,Parametri!$E:$K,7,FALSE)</f>
        <v>4.0657534246575346E-2</v>
      </c>
      <c r="O44" s="20">
        <f t="shared" si="4"/>
        <v>-7318.3561643835628</v>
      </c>
      <c r="P44" s="20">
        <f t="shared" si="4"/>
        <v>-10245.698630136987</v>
      </c>
      <c r="Q44" s="22">
        <f t="shared" si="5"/>
        <v>211064.84383561646</v>
      </c>
      <c r="R44" s="22">
        <f t="shared" si="5"/>
        <v>196394.30136986301</v>
      </c>
      <c r="S44" s="1" t="str">
        <f>IF(inizio-$A44&gt;0,"old","new")&amp;IF(F44&gt;0,"+","-")</f>
        <v>old+</v>
      </c>
    </row>
    <row r="45" spans="1:19" x14ac:dyDescent="0.25">
      <c r="A45" s="14">
        <v>45134</v>
      </c>
      <c r="B45" s="23">
        <v>44</v>
      </c>
      <c r="C45" s="14" t="s">
        <v>60</v>
      </c>
      <c r="D45" s="14" t="s">
        <v>81</v>
      </c>
      <c r="E45" s="15" t="s">
        <v>48</v>
      </c>
      <c r="F45" s="19">
        <v>70000</v>
      </c>
      <c r="G45" s="21">
        <v>-11662</v>
      </c>
      <c r="H45" s="21">
        <v>-15400</v>
      </c>
      <c r="I45" s="2" t="str">
        <f>VLOOKUP($E45,Parametri!$E:$K,2,FALSE)</f>
        <v>Materiali</v>
      </c>
      <c r="J45" s="2" t="str">
        <f>VLOOKUP($E45,Parametri!$E:$K,3,FALSE)</f>
        <v>Mobili e macchine da ufficio</v>
      </c>
      <c r="K45" s="20">
        <f t="shared" si="3"/>
        <v>58338</v>
      </c>
      <c r="L45" s="20">
        <f t="shared" si="0"/>
        <v>54600</v>
      </c>
      <c r="M45" s="24">
        <f>VLOOKUP($E45,Parametri!$E:$K,5,FALSE)</f>
        <v>3.874082191780822E-2</v>
      </c>
      <c r="N45" s="24">
        <f>VLOOKUP($E45,Parametri!$E:$K,7,FALSE)</f>
        <v>5.2273972602739721E-2</v>
      </c>
      <c r="O45" s="20">
        <f t="shared" si="4"/>
        <v>-2711.8575342465756</v>
      </c>
      <c r="P45" s="20">
        <f t="shared" si="4"/>
        <v>-3659.1780821917805</v>
      </c>
      <c r="Q45" s="22">
        <f t="shared" si="5"/>
        <v>55626.142465753423</v>
      </c>
      <c r="R45" s="22">
        <f t="shared" si="5"/>
        <v>50940.821917808222</v>
      </c>
      <c r="S45" s="1" t="str">
        <f>IF(inizio-$A45&gt;0,"old","new")&amp;IF(F45&gt;0,"+","-")</f>
        <v>old+</v>
      </c>
    </row>
    <row r="46" spans="1:19" x14ac:dyDescent="0.25">
      <c r="A46" s="14">
        <v>45224</v>
      </c>
      <c r="B46" s="23">
        <v>45</v>
      </c>
      <c r="C46" s="14" t="s">
        <v>60</v>
      </c>
      <c r="D46" s="14" t="s">
        <v>81</v>
      </c>
      <c r="E46" s="15" t="s">
        <v>79</v>
      </c>
      <c r="F46" s="19">
        <v>325000</v>
      </c>
      <c r="G46" s="21">
        <v>-130000</v>
      </c>
      <c r="H46" s="21">
        <v>-169000</v>
      </c>
      <c r="I46" s="2" t="str">
        <f>VLOOKUP($E46,Parametri!$E:$K,2,FALSE)</f>
        <v>Materiali</v>
      </c>
      <c r="J46" s="2" t="str">
        <f>VLOOKUP($E46,Parametri!$E:$K,3,FALSE)</f>
        <v>Impianti specifici</v>
      </c>
      <c r="K46" s="20">
        <f t="shared" si="3"/>
        <v>195000</v>
      </c>
      <c r="L46" s="20">
        <f t="shared" si="0"/>
        <v>156000</v>
      </c>
      <c r="M46" s="24">
        <f>VLOOKUP($E46,Parametri!$E:$K,5,FALSE)</f>
        <v>3.874082191780822E-2</v>
      </c>
      <c r="N46" s="24">
        <f>VLOOKUP($E46,Parametri!$E:$K,7,FALSE)</f>
        <v>5.2273972602739721E-2</v>
      </c>
      <c r="O46" s="20">
        <f t="shared" si="4"/>
        <v>-12590.767123287671</v>
      </c>
      <c r="P46" s="20">
        <f t="shared" si="4"/>
        <v>-16989.04109589041</v>
      </c>
      <c r="Q46" s="22">
        <f t="shared" si="5"/>
        <v>182409.23287671234</v>
      </c>
      <c r="R46" s="22">
        <f t="shared" si="5"/>
        <v>139010.9589041096</v>
      </c>
      <c r="S46" s="1" t="str">
        <f>IF(inizio-$A46&gt;0,"old","new")&amp;IF(F46&gt;0,"+","-")</f>
        <v>old+</v>
      </c>
    </row>
    <row r="47" spans="1:19" x14ac:dyDescent="0.25">
      <c r="A47" s="16">
        <v>45241</v>
      </c>
      <c r="B47" s="23">
        <v>46</v>
      </c>
      <c r="C47" s="14" t="s">
        <v>60</v>
      </c>
      <c r="D47" s="14" t="s">
        <v>81</v>
      </c>
      <c r="E47" s="15" t="s">
        <v>39</v>
      </c>
      <c r="F47" s="19">
        <v>127000</v>
      </c>
      <c r="G47" s="21">
        <v>-12700</v>
      </c>
      <c r="H47" s="21">
        <v>-17780</v>
      </c>
      <c r="I47" s="2" t="str">
        <f>VLOOKUP($E47,Parametri!$E:$K,2,FALSE)</f>
        <v>Materiali</v>
      </c>
      <c r="J47" s="2" t="str">
        <f>VLOOKUP($E47,Parametri!$E:$K,3,FALSE)</f>
        <v>Telefoni cellulari</v>
      </c>
      <c r="K47" s="20">
        <f t="shared" si="3"/>
        <v>114300</v>
      </c>
      <c r="L47" s="20">
        <f t="shared" si="0"/>
        <v>109220</v>
      </c>
      <c r="M47" s="24">
        <f>VLOOKUP($E47,Parametri!$E:$K,5,FALSE)</f>
        <v>7.260273972602739E-2</v>
      </c>
      <c r="N47" s="24">
        <f>VLOOKUP($E47,Parametri!$E:$K,7,FALSE)</f>
        <v>9.2931506849315074E-2</v>
      </c>
      <c r="O47" s="20">
        <f t="shared" si="4"/>
        <v>-9220.5479452054788</v>
      </c>
      <c r="P47" s="20">
        <f t="shared" si="4"/>
        <v>-11802.301369863015</v>
      </c>
      <c r="Q47" s="22">
        <f t="shared" si="5"/>
        <v>105079.45205479453</v>
      </c>
      <c r="R47" s="22">
        <f t="shared" si="5"/>
        <v>97417.698630136991</v>
      </c>
      <c r="S47" s="1" t="str">
        <f>IF(inizio-$A47&gt;0,"old","new")&amp;IF(F47&gt;0,"+","-")</f>
        <v>old+</v>
      </c>
    </row>
    <row r="48" spans="1:19" x14ac:dyDescent="0.25">
      <c r="A48" s="16">
        <v>45243</v>
      </c>
      <c r="B48" s="23">
        <v>47</v>
      </c>
      <c r="C48" s="14" t="s">
        <v>60</v>
      </c>
      <c r="D48" s="14" t="s">
        <v>75</v>
      </c>
      <c r="E48" s="15" t="s">
        <v>46</v>
      </c>
      <c r="F48" s="19">
        <v>300000</v>
      </c>
      <c r="G48" s="21">
        <v>-120000</v>
      </c>
      <c r="H48" s="21">
        <v>-156000</v>
      </c>
      <c r="I48" s="2" t="str">
        <f>VLOOKUP($E48,Parametri!$E:$K,2,FALSE)</f>
        <v>Immateriali</v>
      </c>
      <c r="J48" s="2" t="str">
        <f>VLOOKUP($E48,Parametri!$E:$K,3,FALSE)</f>
        <v>Avanzo di fusione</v>
      </c>
      <c r="K48" s="20">
        <f t="shared" si="3"/>
        <v>180000</v>
      </c>
      <c r="L48" s="20">
        <f t="shared" si="0"/>
        <v>144000</v>
      </c>
      <c r="M48" s="24">
        <f>VLOOKUP($E48,Parametri!$E:$K,5,FALSE)</f>
        <v>0.11616438356164385</v>
      </c>
      <c r="N48" s="24">
        <f>VLOOKUP($E48,Parametri!$E:$K,7,FALSE)</f>
        <v>0.151013698630137</v>
      </c>
      <c r="O48" s="20">
        <f t="shared" si="4"/>
        <v>-34849.315068493153</v>
      </c>
      <c r="P48" s="20">
        <f t="shared" si="4"/>
        <v>-45304.109589041102</v>
      </c>
      <c r="Q48" s="22">
        <f t="shared" si="5"/>
        <v>145150.68493150684</v>
      </c>
      <c r="R48" s="22">
        <f t="shared" si="5"/>
        <v>98695.890410958906</v>
      </c>
      <c r="S48" s="1" t="str">
        <f>IF(inizio-$A48&gt;0,"old","new")&amp;IF(F48&gt;0,"+","-")</f>
        <v>old+</v>
      </c>
    </row>
    <row r="49" spans="1:19" x14ac:dyDescent="0.25">
      <c r="A49" s="14">
        <v>45263</v>
      </c>
      <c r="B49" s="23">
        <v>48</v>
      </c>
      <c r="C49" s="14" t="s">
        <v>60</v>
      </c>
      <c r="D49" s="14" t="s">
        <v>75</v>
      </c>
      <c r="E49" s="15" t="s">
        <v>48</v>
      </c>
      <c r="F49" s="19">
        <v>394000</v>
      </c>
      <c r="G49" s="21">
        <v>-65640.399999999994</v>
      </c>
      <c r="H49" s="21">
        <v>-86680</v>
      </c>
      <c r="I49" s="2" t="str">
        <f>VLOOKUP($E49,Parametri!$E:$K,2,FALSE)</f>
        <v>Materiali</v>
      </c>
      <c r="J49" s="2" t="str">
        <f>VLOOKUP($E49,Parametri!$E:$K,3,FALSE)</f>
        <v>Mobili e macchine da ufficio</v>
      </c>
      <c r="K49" s="20">
        <f t="shared" si="3"/>
        <v>328359.59999999998</v>
      </c>
      <c r="L49" s="20">
        <f t="shared" si="0"/>
        <v>307320</v>
      </c>
      <c r="M49" s="24">
        <f>VLOOKUP($E49,Parametri!$E:$K,5,FALSE)</f>
        <v>3.874082191780822E-2</v>
      </c>
      <c r="N49" s="24">
        <f>VLOOKUP($E49,Parametri!$E:$K,7,FALSE)</f>
        <v>5.2273972602739721E-2</v>
      </c>
      <c r="O49" s="20">
        <f t="shared" si="4"/>
        <v>-15263.883835616438</v>
      </c>
      <c r="P49" s="20">
        <f t="shared" si="4"/>
        <v>-20595.945205479449</v>
      </c>
      <c r="Q49" s="22">
        <f t="shared" si="5"/>
        <v>313095.71616438351</v>
      </c>
      <c r="R49" s="22">
        <f t="shared" si="5"/>
        <v>286724.05479452055</v>
      </c>
      <c r="S49" s="1" t="str">
        <f>IF(inizio-$A49&gt;0,"old","new")&amp;IF(F49&gt;0,"+","-")</f>
        <v>old+</v>
      </c>
    </row>
    <row r="50" spans="1:19" x14ac:dyDescent="0.25">
      <c r="A50" s="16">
        <v>45288</v>
      </c>
      <c r="B50" s="23">
        <v>49</v>
      </c>
      <c r="C50" s="14" t="s">
        <v>60</v>
      </c>
      <c r="D50" s="14" t="s">
        <v>81</v>
      </c>
      <c r="E50" s="15" t="s">
        <v>52</v>
      </c>
      <c r="F50" s="19">
        <v>96000</v>
      </c>
      <c r="G50" s="21">
        <v>-38400</v>
      </c>
      <c r="H50" s="21">
        <v>-49920</v>
      </c>
      <c r="I50" s="2" t="str">
        <f>VLOOKUP($E50,Parametri!$E:$K,2,FALSE)</f>
        <v>Materiali</v>
      </c>
      <c r="J50" s="2" t="str">
        <f>VLOOKUP($E50,Parametri!$E:$K,3,FALSE)</f>
        <v>Arredamento ufficio</v>
      </c>
      <c r="K50" s="20">
        <f t="shared" si="3"/>
        <v>57600</v>
      </c>
      <c r="L50" s="20">
        <f t="shared" si="0"/>
        <v>46080</v>
      </c>
      <c r="M50" s="24">
        <f>VLOOKUP($E50,Parametri!$E:$K,5,FALSE)</f>
        <v>3.874082191780822E-2</v>
      </c>
      <c r="N50" s="24">
        <f>VLOOKUP($E50,Parametri!$E:$K,7,FALSE)</f>
        <v>5.2273972602739721E-2</v>
      </c>
      <c r="O50" s="20">
        <f t="shared" si="4"/>
        <v>-3719.118904109589</v>
      </c>
      <c r="P50" s="20">
        <f t="shared" si="4"/>
        <v>-5018.301369863013</v>
      </c>
      <c r="Q50" s="22">
        <f t="shared" si="5"/>
        <v>53880.881095890414</v>
      </c>
      <c r="R50" s="22">
        <f t="shared" si="5"/>
        <v>41061.698630136991</v>
      </c>
      <c r="S50" s="1" t="str">
        <f>IF(inizio-$A50&gt;0,"old","new")&amp;IF(F50&gt;0,"+","-")</f>
        <v>old+</v>
      </c>
    </row>
    <row r="51" spans="1:19" x14ac:dyDescent="0.25">
      <c r="A51" s="16">
        <v>45303</v>
      </c>
      <c r="B51" s="23">
        <v>50</v>
      </c>
      <c r="C51" s="14" t="s">
        <v>60</v>
      </c>
      <c r="D51" s="14" t="s">
        <v>82</v>
      </c>
      <c r="E51" s="15" t="s">
        <v>38</v>
      </c>
      <c r="F51" s="19">
        <v>101000</v>
      </c>
      <c r="G51" s="21">
        <v>-8413.2999999999993</v>
      </c>
      <c r="H51" s="21">
        <v>-11110</v>
      </c>
      <c r="I51" s="2" t="str">
        <f>VLOOKUP($E51,Parametri!$E:$K,2,FALSE)</f>
        <v>Materiali</v>
      </c>
      <c r="J51" s="2" t="str">
        <f>VLOOKUP($E51,Parametri!$E:$K,3,FALSE)</f>
        <v>Stampi</v>
      </c>
      <c r="K51" s="20">
        <f t="shared" si="3"/>
        <v>92586.7</v>
      </c>
      <c r="L51" s="20">
        <f t="shared" si="0"/>
        <v>89890</v>
      </c>
      <c r="M51" s="24">
        <f>VLOOKUP($E51,Parametri!$E:$K,5,FALSE)</f>
        <v>0.11616438356164385</v>
      </c>
      <c r="N51" s="24">
        <f>VLOOKUP($E51,Parametri!$E:$K,7,FALSE)</f>
        <v>0.151013698630137</v>
      </c>
      <c r="O51" s="20">
        <f t="shared" si="4"/>
        <v>-11732.60273972603</v>
      </c>
      <c r="P51" s="20">
        <f t="shared" si="4"/>
        <v>-15252.383561643837</v>
      </c>
      <c r="Q51" s="22">
        <f t="shared" si="5"/>
        <v>80854.097260273964</v>
      </c>
      <c r="R51" s="22">
        <f t="shared" si="5"/>
        <v>74637.61643835617</v>
      </c>
      <c r="S51" s="1" t="str">
        <f>IF(inizio-$A51&gt;0,"old","new")&amp;IF(F51&gt;0,"+","-")</f>
        <v>old+</v>
      </c>
    </row>
    <row r="52" spans="1:19" x14ac:dyDescent="0.25">
      <c r="A52" s="16">
        <v>45306</v>
      </c>
      <c r="B52" s="23">
        <v>51</v>
      </c>
      <c r="C52" s="14" t="s">
        <v>60</v>
      </c>
      <c r="D52" s="14" t="s">
        <v>82</v>
      </c>
      <c r="E52" s="15" t="s">
        <v>41</v>
      </c>
      <c r="F52" s="19">
        <v>42000</v>
      </c>
      <c r="G52" s="21">
        <v>-10500</v>
      </c>
      <c r="H52" s="21">
        <v>-13860</v>
      </c>
      <c r="I52" s="2" t="str">
        <f>VLOOKUP($E52,Parametri!$E:$K,2,FALSE)</f>
        <v>Immateriali</v>
      </c>
      <c r="J52" s="2" t="str">
        <f>VLOOKUP($E52,Parametri!$E:$K,3,FALSE)</f>
        <v>Costi acq. Ramo di azienda</v>
      </c>
      <c r="K52" s="20">
        <f t="shared" si="3"/>
        <v>31500</v>
      </c>
      <c r="L52" s="20">
        <f t="shared" si="0"/>
        <v>28140</v>
      </c>
      <c r="M52" s="24">
        <f>VLOOKUP($E52,Parametri!$E:$K,5,FALSE)</f>
        <v>0.11616438356164385</v>
      </c>
      <c r="N52" s="24">
        <f>VLOOKUP($E52,Parametri!$E:$K,7,FALSE)</f>
        <v>0.151013698630137</v>
      </c>
      <c r="O52" s="20">
        <f t="shared" si="4"/>
        <v>-4878.9041095890416</v>
      </c>
      <c r="P52" s="20">
        <f t="shared" si="4"/>
        <v>-6342.5753424657541</v>
      </c>
      <c r="Q52" s="22">
        <f t="shared" si="5"/>
        <v>26621.095890410958</v>
      </c>
      <c r="R52" s="22">
        <f t="shared" si="5"/>
        <v>21797.424657534248</v>
      </c>
      <c r="S52" s="1" t="str">
        <f>IF(inizio-$A52&gt;0,"old","new")&amp;IF(F52&gt;0,"+","-")</f>
        <v>old+</v>
      </c>
    </row>
    <row r="53" spans="1:19" x14ac:dyDescent="0.25">
      <c r="A53" s="14">
        <v>45315</v>
      </c>
      <c r="B53" s="23">
        <v>52</v>
      </c>
      <c r="C53" s="14" t="s">
        <v>60</v>
      </c>
      <c r="D53" s="14" t="s">
        <v>81</v>
      </c>
      <c r="E53" s="15" t="s">
        <v>53</v>
      </c>
      <c r="F53" s="19">
        <v>158000</v>
      </c>
      <c r="G53" s="21">
        <v>-15800</v>
      </c>
      <c r="H53" s="21">
        <v>-20540</v>
      </c>
      <c r="I53" s="2" t="str">
        <f>VLOOKUP($E53,Parametri!$E:$K,2,FALSE)</f>
        <v>Materiali</v>
      </c>
      <c r="J53" s="2" t="str">
        <f>VLOOKUP($E53,Parametri!$E:$K,3,FALSE)</f>
        <v>Impianti di magazzino</v>
      </c>
      <c r="K53" s="20">
        <f t="shared" si="3"/>
        <v>142200</v>
      </c>
      <c r="L53" s="20">
        <f t="shared" si="0"/>
        <v>137460</v>
      </c>
      <c r="M53" s="24">
        <f>VLOOKUP($E53,Parametri!$E:$K,5,FALSE)</f>
        <v>4.8382465753424662E-2</v>
      </c>
      <c r="N53" s="24">
        <f>VLOOKUP($E53,Parametri!$E:$K,7,FALSE)</f>
        <v>6.3890410958904104E-2</v>
      </c>
      <c r="O53" s="20">
        <f t="shared" si="4"/>
        <v>-7644.4295890410967</v>
      </c>
      <c r="P53" s="20">
        <f t="shared" si="4"/>
        <v>-10094.684931506848</v>
      </c>
      <c r="Q53" s="22">
        <f t="shared" si="5"/>
        <v>134555.5704109589</v>
      </c>
      <c r="R53" s="22">
        <f t="shared" si="5"/>
        <v>127365.31506849315</v>
      </c>
      <c r="S53" s="1" t="str">
        <f>IF(inizio-$A53&gt;0,"old","new")&amp;IF(F53&gt;0,"+","-")</f>
        <v>old+</v>
      </c>
    </row>
    <row r="54" spans="1:19" x14ac:dyDescent="0.25">
      <c r="A54" s="14">
        <v>45329</v>
      </c>
      <c r="B54" s="23">
        <v>53</v>
      </c>
      <c r="C54" s="14" t="s">
        <v>60</v>
      </c>
      <c r="D54" s="14" t="s">
        <v>75</v>
      </c>
      <c r="E54" s="15" t="s">
        <v>49</v>
      </c>
      <c r="F54" s="19">
        <v>228000</v>
      </c>
      <c r="G54" s="21">
        <v>-5700</v>
      </c>
      <c r="H54" s="21">
        <v>-6840</v>
      </c>
      <c r="I54" s="2" t="str">
        <f>VLOOKUP($E54,Parametri!$E:$K,2,FALSE)</f>
        <v>Materiali</v>
      </c>
      <c r="J54" s="2" t="str">
        <f>VLOOKUP($E54,Parametri!$E:$K,3,FALSE)</f>
        <v>Fabbricati industriali</v>
      </c>
      <c r="K54" s="20">
        <f t="shared" si="3"/>
        <v>222300</v>
      </c>
      <c r="L54" s="20">
        <f t="shared" si="0"/>
        <v>221160</v>
      </c>
      <c r="M54" s="24">
        <f>VLOOKUP($E54,Parametri!$E:$K,5,FALSE)</f>
        <v>1.4520547945205482E-2</v>
      </c>
      <c r="N54" s="24">
        <f>VLOOKUP($E54,Parametri!$E:$K,7,FALSE)</f>
        <v>1.7424657534246574E-2</v>
      </c>
      <c r="O54" s="20">
        <f t="shared" si="4"/>
        <v>-3310.6849315068498</v>
      </c>
      <c r="P54" s="20">
        <f t="shared" si="4"/>
        <v>-3972.8219178082186</v>
      </c>
      <c r="Q54" s="22">
        <f t="shared" si="5"/>
        <v>218989.31506849316</v>
      </c>
      <c r="R54" s="22">
        <f t="shared" si="5"/>
        <v>217187.17808219179</v>
      </c>
      <c r="S54" s="1" t="str">
        <f>IF(inizio-$A54&gt;0,"old","new")&amp;IF(F54&gt;0,"+","-")</f>
        <v>old+</v>
      </c>
    </row>
    <row r="55" spans="1:19" x14ac:dyDescent="0.25">
      <c r="A55" s="16">
        <v>45332</v>
      </c>
      <c r="B55" s="23">
        <v>54</v>
      </c>
      <c r="C55" s="14" t="s">
        <v>60</v>
      </c>
      <c r="D55" s="14" t="s">
        <v>81</v>
      </c>
      <c r="E55" s="15" t="s">
        <v>51</v>
      </c>
      <c r="F55" s="19">
        <v>359000</v>
      </c>
      <c r="G55" s="21">
        <v>-17950</v>
      </c>
      <c r="H55" s="21">
        <v>-25130</v>
      </c>
      <c r="I55" s="2" t="str">
        <f>VLOOKUP($E55,Parametri!$E:$K,2,FALSE)</f>
        <v>Materiali</v>
      </c>
      <c r="J55" s="2" t="str">
        <f>VLOOKUP($E55,Parametri!$E:$K,3,FALSE)</f>
        <v>Costruzioni leggere</v>
      </c>
      <c r="K55" s="20">
        <f t="shared" si="3"/>
        <v>341050</v>
      </c>
      <c r="L55" s="20">
        <f t="shared" si="0"/>
        <v>333870</v>
      </c>
      <c r="M55" s="24">
        <f>VLOOKUP($E55,Parametri!$E:$K,5,FALSE)</f>
        <v>2.9041095890410963E-2</v>
      </c>
      <c r="N55" s="24">
        <f>VLOOKUP($E55,Parametri!$E:$K,7,FALSE)</f>
        <v>4.0657534246575346E-2</v>
      </c>
      <c r="O55" s="20">
        <f t="shared" si="4"/>
        <v>-10425.753424657536</v>
      </c>
      <c r="P55" s="20">
        <f t="shared" si="4"/>
        <v>-14596.054794520549</v>
      </c>
      <c r="Q55" s="22">
        <f t="shared" si="5"/>
        <v>330624.24657534249</v>
      </c>
      <c r="R55" s="22">
        <f t="shared" si="5"/>
        <v>319273.94520547945</v>
      </c>
      <c r="S55" s="1" t="str">
        <f>IF(inizio-$A55&gt;0,"old","new")&amp;IF(F55&gt;0,"+","-")</f>
        <v>old+</v>
      </c>
    </row>
    <row r="56" spans="1:19" x14ac:dyDescent="0.25">
      <c r="A56" s="16">
        <v>45376</v>
      </c>
      <c r="B56" s="23">
        <v>55</v>
      </c>
      <c r="C56" s="14" t="s">
        <v>60</v>
      </c>
      <c r="D56" s="14" t="s">
        <v>75</v>
      </c>
      <c r="E56" s="15" t="s">
        <v>78</v>
      </c>
      <c r="F56" s="19">
        <v>393000</v>
      </c>
      <c r="G56" s="21">
        <v>-78600</v>
      </c>
      <c r="H56" s="21">
        <v>-102180</v>
      </c>
      <c r="I56" s="2" t="str">
        <f>VLOOKUP($E56,Parametri!$E:$K,2,FALSE)</f>
        <v>Materiali</v>
      </c>
      <c r="J56" s="2" t="str">
        <f>VLOOKUP($E56,Parametri!$E:$K,3,FALSE)</f>
        <v>Macchine Elettroniche uff</v>
      </c>
      <c r="K56" s="20">
        <f t="shared" si="3"/>
        <v>314400</v>
      </c>
      <c r="L56" s="20">
        <f t="shared" si="0"/>
        <v>290820</v>
      </c>
      <c r="M56" s="24">
        <f>VLOOKUP($E56,Parametri!$E:$K,5,FALSE)</f>
        <v>9.6823013698630125E-2</v>
      </c>
      <c r="N56" s="24">
        <f>VLOOKUP($E56,Parametri!$E:$K,7,FALSE)</f>
        <v>0.12778082191780821</v>
      </c>
      <c r="O56" s="20">
        <f t="shared" si="4"/>
        <v>-38051.44438356164</v>
      </c>
      <c r="P56" s="20">
        <f t="shared" si="4"/>
        <v>-50217.863013698625</v>
      </c>
      <c r="Q56" s="22">
        <f t="shared" si="5"/>
        <v>276348.55561643839</v>
      </c>
      <c r="R56" s="22">
        <f t="shared" si="5"/>
        <v>240602.13698630137</v>
      </c>
      <c r="S56" s="1" t="str">
        <f>IF(inizio-$A56&gt;0,"old","new")&amp;IF(F56&gt;0,"+","-")</f>
        <v>old+</v>
      </c>
    </row>
    <row r="57" spans="1:19" x14ac:dyDescent="0.25">
      <c r="A57" s="25">
        <v>45388</v>
      </c>
      <c r="B57" s="26">
        <v>56</v>
      </c>
      <c r="C57" s="27" t="s">
        <v>60</v>
      </c>
      <c r="D57" s="27" t="s">
        <v>75</v>
      </c>
      <c r="E57" s="28" t="s">
        <v>48</v>
      </c>
      <c r="F57" s="30">
        <v>26000</v>
      </c>
      <c r="G57" s="31">
        <v>-2165.8000000000002</v>
      </c>
      <c r="H57" s="31">
        <v>-2860</v>
      </c>
      <c r="I57" s="29" t="s">
        <v>22</v>
      </c>
      <c r="J57" s="29" t="s">
        <v>14</v>
      </c>
      <c r="K57" s="32">
        <v>23834.2</v>
      </c>
      <c r="L57" s="32">
        <v>23140</v>
      </c>
      <c r="M57" s="33">
        <v>2.1909041095890411E-2</v>
      </c>
      <c r="N57" s="33">
        <v>2.8931506849315069E-2</v>
      </c>
      <c r="O57" s="32">
        <v>-569.6350684931507</v>
      </c>
      <c r="P57" s="32">
        <v>-752.21917808219177</v>
      </c>
      <c r="Q57" s="34">
        <v>23264.564931506851</v>
      </c>
      <c r="R57" s="34">
        <v>23140</v>
      </c>
      <c r="S57" s="35" t="str">
        <f>IF(inizio-$A57&gt;0,"old","new")&amp;IF(F57&gt;0,"+","-")</f>
        <v>old+</v>
      </c>
    </row>
    <row r="58" spans="1:19" x14ac:dyDescent="0.25">
      <c r="A58" s="14">
        <v>45389</v>
      </c>
      <c r="B58" s="23">
        <v>57</v>
      </c>
      <c r="C58" s="14" t="s">
        <v>60</v>
      </c>
      <c r="D58" s="14" t="s">
        <v>81</v>
      </c>
      <c r="E58" s="15" t="s">
        <v>50</v>
      </c>
      <c r="F58" s="19">
        <v>320000</v>
      </c>
      <c r="G58" s="21">
        <v>-64000</v>
      </c>
      <c r="H58" s="21">
        <v>-83200</v>
      </c>
      <c r="I58" s="2" t="str">
        <f>VLOOKUP($E58,Parametri!$E:$K,2,FALSE)</f>
        <v>Immateriali</v>
      </c>
      <c r="J58" s="2" t="str">
        <f>VLOOKUP($E58,Parametri!$E:$K,3,FALSE)</f>
        <v>Avviamento</v>
      </c>
      <c r="K58" s="20">
        <f t="shared" ref="K58:L64" si="6">$F58+G58</f>
        <v>256000</v>
      </c>
      <c r="L58" s="20">
        <f t="shared" si="6"/>
        <v>236800</v>
      </c>
      <c r="M58" s="24">
        <f>VLOOKUP($E58,Parametri!$E:$K,5,FALSE)</f>
        <v>0.11616438356164385</v>
      </c>
      <c r="N58" s="24">
        <f>VLOOKUP($E58,Parametri!$E:$K,7,FALSE)</f>
        <v>0.151013698630137</v>
      </c>
      <c r="O58" s="20">
        <f t="shared" ref="O58:P64" si="7">-IF(M58*$F58&gt;K58,K58,M58*$F58)*IF(inizio-$A58&gt;0,1,IF(metodo="C",50%,(analisi-$A58)/gganno))</f>
        <v>-37172.602739726033</v>
      </c>
      <c r="P58" s="20">
        <f t="shared" si="7"/>
        <v>-48324.383561643837</v>
      </c>
      <c r="Q58" s="22">
        <f t="shared" ref="Q58:R64" si="8">$F58+G58+O58</f>
        <v>218827.39726027398</v>
      </c>
      <c r="R58" s="22">
        <f t="shared" si="8"/>
        <v>188475.61643835617</v>
      </c>
      <c r="S58" s="1" t="str">
        <f>IF(inizio-$A58&gt;0,"old","new")&amp;IF(F58&gt;0,"+","-")</f>
        <v>old+</v>
      </c>
    </row>
    <row r="59" spans="1:19" x14ac:dyDescent="0.25">
      <c r="A59" s="14">
        <v>45468</v>
      </c>
      <c r="B59" s="23">
        <v>58</v>
      </c>
      <c r="C59" s="14" t="s">
        <v>60</v>
      </c>
      <c r="D59" s="14" t="s">
        <v>75</v>
      </c>
      <c r="E59" s="15" t="s">
        <v>79</v>
      </c>
      <c r="F59" s="19">
        <v>357000</v>
      </c>
      <c r="G59" s="21">
        <v>-71400</v>
      </c>
      <c r="H59" s="21">
        <v>-92820</v>
      </c>
      <c r="I59" s="2" t="str">
        <f>VLOOKUP($E59,Parametri!$E:$K,2,FALSE)</f>
        <v>Materiali</v>
      </c>
      <c r="J59" s="2" t="str">
        <f>VLOOKUP($E59,Parametri!$E:$K,3,FALSE)</f>
        <v>Impianti specifici</v>
      </c>
      <c r="K59" s="20">
        <f t="shared" si="6"/>
        <v>285600</v>
      </c>
      <c r="L59" s="20">
        <f t="shared" si="6"/>
        <v>264180</v>
      </c>
      <c r="M59" s="24">
        <f>VLOOKUP($E59,Parametri!$E:$K,5,FALSE)</f>
        <v>3.874082191780822E-2</v>
      </c>
      <c r="N59" s="24">
        <f>VLOOKUP($E59,Parametri!$E:$K,7,FALSE)</f>
        <v>5.2273972602739721E-2</v>
      </c>
      <c r="O59" s="20">
        <f t="shared" si="7"/>
        <v>-13830.473424657535</v>
      </c>
      <c r="P59" s="20">
        <f t="shared" si="7"/>
        <v>-18661.808219178081</v>
      </c>
      <c r="Q59" s="22">
        <f t="shared" si="8"/>
        <v>271769.52657534246</v>
      </c>
      <c r="R59" s="22">
        <f t="shared" si="8"/>
        <v>245518.19178082192</v>
      </c>
      <c r="S59" s="1" t="str">
        <f>IF(inizio-$A59&gt;0,"old","new")&amp;IF(F59&gt;0,"+","-")</f>
        <v>old+</v>
      </c>
    </row>
    <row r="60" spans="1:19" x14ac:dyDescent="0.25">
      <c r="A60" s="16">
        <v>45659</v>
      </c>
      <c r="B60" s="23">
        <v>59</v>
      </c>
      <c r="C60" s="14" t="s">
        <v>60</v>
      </c>
      <c r="D60" s="14" t="s">
        <v>75</v>
      </c>
      <c r="E60" s="15" t="s">
        <v>49</v>
      </c>
      <c r="F60" s="19">
        <v>141000</v>
      </c>
      <c r="G60" s="21">
        <v>0</v>
      </c>
      <c r="H60" s="21">
        <v>0</v>
      </c>
      <c r="I60" s="2" t="str">
        <f>VLOOKUP($E60,Parametri!$E:$K,2,FALSE)</f>
        <v>Materiali</v>
      </c>
      <c r="J60" s="2" t="str">
        <f>VLOOKUP($E60,Parametri!$E:$K,3,FALSE)</f>
        <v>Fabbricati industriali</v>
      </c>
      <c r="K60" s="20">
        <f t="shared" si="6"/>
        <v>141000</v>
      </c>
      <c r="L60" s="20">
        <f t="shared" si="6"/>
        <v>141000</v>
      </c>
      <c r="M60" s="24">
        <f>VLOOKUP($E60,Parametri!$E:$K,5,FALSE)</f>
        <v>1.4520547945205482E-2</v>
      </c>
      <c r="N60" s="24">
        <f>VLOOKUP($E60,Parametri!$E:$K,7,FALSE)</f>
        <v>1.7424657534246574E-2</v>
      </c>
      <c r="O60" s="20">
        <f t="shared" si="7"/>
        <v>-1023.6986301369865</v>
      </c>
      <c r="P60" s="20">
        <f t="shared" si="7"/>
        <v>-1228.4383561643835</v>
      </c>
      <c r="Q60" s="22">
        <f t="shared" si="8"/>
        <v>139976.30136986301</v>
      </c>
      <c r="R60" s="22">
        <f t="shared" si="8"/>
        <v>139771.56164383562</v>
      </c>
      <c r="S60" s="1" t="str">
        <f>IF(inizio-$A60&gt;0,"old","new")&amp;IF(F60&gt;0,"+","-")</f>
        <v>new+</v>
      </c>
    </row>
    <row r="61" spans="1:19" x14ac:dyDescent="0.25">
      <c r="A61" s="14">
        <v>45666</v>
      </c>
      <c r="B61" s="23">
        <v>60</v>
      </c>
      <c r="C61" s="14" t="s">
        <v>60</v>
      </c>
      <c r="D61" s="14" t="s">
        <v>81</v>
      </c>
      <c r="E61" s="15" t="s">
        <v>48</v>
      </c>
      <c r="F61" s="19">
        <v>155000</v>
      </c>
      <c r="G61" s="21">
        <v>0</v>
      </c>
      <c r="H61" s="21">
        <v>0</v>
      </c>
      <c r="I61" s="2" t="str">
        <f>VLOOKUP($E61,Parametri!$E:$K,2,FALSE)</f>
        <v>Materiali</v>
      </c>
      <c r="J61" s="2" t="str">
        <f>VLOOKUP($E61,Parametri!$E:$K,3,FALSE)</f>
        <v>Mobili e macchine da ufficio</v>
      </c>
      <c r="K61" s="20">
        <f t="shared" si="6"/>
        <v>155000</v>
      </c>
      <c r="L61" s="20">
        <f t="shared" si="6"/>
        <v>155000</v>
      </c>
      <c r="M61" s="24">
        <f>VLOOKUP($E61,Parametri!$E:$K,5,FALSE)</f>
        <v>3.874082191780822E-2</v>
      </c>
      <c r="N61" s="24">
        <f>VLOOKUP($E61,Parametri!$E:$K,7,FALSE)</f>
        <v>5.2273972602739721E-2</v>
      </c>
      <c r="O61" s="20">
        <f t="shared" si="7"/>
        <v>-3002.4136986301369</v>
      </c>
      <c r="P61" s="20">
        <f t="shared" si="7"/>
        <v>-4051.2328767123286</v>
      </c>
      <c r="Q61" s="22">
        <f t="shared" si="8"/>
        <v>151997.58630136985</v>
      </c>
      <c r="R61" s="22">
        <f t="shared" si="8"/>
        <v>150948.76712328766</v>
      </c>
      <c r="S61" s="1" t="str">
        <f>IF(inizio-$A61&gt;0,"old","new")&amp;IF(F61&gt;0,"+","-")</f>
        <v>new+</v>
      </c>
    </row>
    <row r="62" spans="1:19" x14ac:dyDescent="0.25">
      <c r="A62" s="14">
        <v>45762</v>
      </c>
      <c r="B62" s="23">
        <v>61</v>
      </c>
      <c r="C62" s="14" t="s">
        <v>60</v>
      </c>
      <c r="D62" s="14" t="s">
        <v>75</v>
      </c>
      <c r="E62" s="15" t="s">
        <v>53</v>
      </c>
      <c r="F62" s="19">
        <v>21000</v>
      </c>
      <c r="G62" s="21">
        <v>0</v>
      </c>
      <c r="H62" s="21">
        <v>0</v>
      </c>
      <c r="I62" s="2" t="str">
        <f>VLOOKUP($E62,Parametri!$E:$K,2,FALSE)</f>
        <v>Materiali</v>
      </c>
      <c r="J62" s="2" t="str">
        <f>VLOOKUP($E62,Parametri!$E:$K,3,FALSE)</f>
        <v>Impianti di magazzino</v>
      </c>
      <c r="K62" s="20">
        <f t="shared" si="6"/>
        <v>21000</v>
      </c>
      <c r="L62" s="20">
        <f t="shared" si="6"/>
        <v>21000</v>
      </c>
      <c r="M62" s="24">
        <f>VLOOKUP($E62,Parametri!$E:$K,5,FALSE)</f>
        <v>4.8382465753424662E-2</v>
      </c>
      <c r="N62" s="24">
        <f>VLOOKUP($E62,Parametri!$E:$K,7,FALSE)</f>
        <v>6.3890410958904104E-2</v>
      </c>
      <c r="O62" s="20">
        <f t="shared" si="7"/>
        <v>-508.01589041095895</v>
      </c>
      <c r="P62" s="20">
        <f t="shared" si="7"/>
        <v>-670.84931506849307</v>
      </c>
      <c r="Q62" s="22">
        <f t="shared" si="8"/>
        <v>20491.984109589041</v>
      </c>
      <c r="R62" s="22">
        <f t="shared" si="8"/>
        <v>20329.150684931508</v>
      </c>
      <c r="S62" s="1" t="str">
        <f>IF(inizio-$A62&gt;0,"old","new")&amp;IF(F62&gt;0,"+","-")</f>
        <v>new+</v>
      </c>
    </row>
    <row r="63" spans="1:19" x14ac:dyDescent="0.25">
      <c r="A63" s="16">
        <v>45805</v>
      </c>
      <c r="B63" s="23">
        <v>62</v>
      </c>
      <c r="C63" s="14" t="s">
        <v>60</v>
      </c>
      <c r="D63" s="14" t="s">
        <v>75</v>
      </c>
      <c r="E63" s="15" t="s">
        <v>41</v>
      </c>
      <c r="F63" s="19">
        <v>384000</v>
      </c>
      <c r="G63" s="21">
        <v>0</v>
      </c>
      <c r="H63" s="21">
        <v>0</v>
      </c>
      <c r="I63" s="2" t="str">
        <f>VLOOKUP($E63,Parametri!$E:$K,2,FALSE)</f>
        <v>Immateriali</v>
      </c>
      <c r="J63" s="2" t="str">
        <f>VLOOKUP($E63,Parametri!$E:$K,3,FALSE)</f>
        <v>Costi acq. Ramo di azienda</v>
      </c>
      <c r="K63" s="20">
        <f t="shared" si="6"/>
        <v>384000</v>
      </c>
      <c r="L63" s="20">
        <f t="shared" si="6"/>
        <v>384000</v>
      </c>
      <c r="M63" s="24">
        <f>VLOOKUP($E63,Parametri!$E:$K,5,FALSE)</f>
        <v>0.11616438356164385</v>
      </c>
      <c r="N63" s="24">
        <f>VLOOKUP($E63,Parametri!$E:$K,7,FALSE)</f>
        <v>0.151013698630137</v>
      </c>
      <c r="O63" s="20">
        <f t="shared" si="7"/>
        <v>-22303.561643835619</v>
      </c>
      <c r="P63" s="20">
        <f t="shared" si="7"/>
        <v>-28994.630136986303</v>
      </c>
      <c r="Q63" s="22">
        <f t="shared" si="8"/>
        <v>361696.43835616438</v>
      </c>
      <c r="R63" s="22">
        <f t="shared" si="8"/>
        <v>355005.36986301368</v>
      </c>
      <c r="S63" s="1" t="str">
        <f>IF(inizio-$A63&gt;0,"old","new")&amp;IF(F63&gt;0,"+","-")</f>
        <v>new+</v>
      </c>
    </row>
    <row r="64" spans="1:19" x14ac:dyDescent="0.25">
      <c r="A64" s="14">
        <v>45810</v>
      </c>
      <c r="B64" s="23">
        <v>63</v>
      </c>
      <c r="C64" s="14" t="s">
        <v>60</v>
      </c>
      <c r="D64" s="14" t="s">
        <v>75</v>
      </c>
      <c r="E64" s="15" t="s">
        <v>40</v>
      </c>
      <c r="F64" s="19">
        <v>145000</v>
      </c>
      <c r="G64" s="21">
        <v>0</v>
      </c>
      <c r="H64" s="21">
        <v>0</v>
      </c>
      <c r="I64" s="2" t="str">
        <f>VLOOKUP($E64,Parametri!$E:$K,2,FALSE)</f>
        <v>Materiali</v>
      </c>
      <c r="J64" s="2" t="str">
        <f>VLOOKUP($E64,Parametri!$E:$K,3,FALSE)</f>
        <v>Attrezzatura Varia</v>
      </c>
      <c r="K64" s="20">
        <f t="shared" si="6"/>
        <v>145000</v>
      </c>
      <c r="L64" s="20">
        <f t="shared" si="6"/>
        <v>145000</v>
      </c>
      <c r="M64" s="24">
        <f>VLOOKUP($E64,Parametri!$E:$K,5,FALSE)</f>
        <v>4.8382465753424662E-2</v>
      </c>
      <c r="N64" s="24">
        <f>VLOOKUP($E64,Parametri!$E:$K,7,FALSE)</f>
        <v>6.3890410958904104E-2</v>
      </c>
      <c r="O64" s="20">
        <f t="shared" si="7"/>
        <v>-3507.728767123288</v>
      </c>
      <c r="P64" s="20">
        <f t="shared" si="7"/>
        <v>-4632.0547945205471</v>
      </c>
      <c r="Q64" s="22">
        <f t="shared" si="8"/>
        <v>141492.27123287672</v>
      </c>
      <c r="R64" s="22">
        <f t="shared" si="8"/>
        <v>140367.94520547945</v>
      </c>
      <c r="S64" s="1" t="str">
        <f>IF(inizio-$A64&gt;0,"old","new")&amp;IF(F64&gt;0,"+","-")</f>
        <v>new+</v>
      </c>
    </row>
    <row r="65" spans="1:19" x14ac:dyDescent="0.25">
      <c r="A65" s="25">
        <v>45753</v>
      </c>
      <c r="B65" s="26">
        <v>56</v>
      </c>
      <c r="C65" s="27" t="s">
        <v>60</v>
      </c>
      <c r="D65" s="27" t="s">
        <v>75</v>
      </c>
      <c r="E65" s="28" t="s">
        <v>48</v>
      </c>
      <c r="F65" s="30">
        <v>-26000</v>
      </c>
      <c r="G65" s="31">
        <v>2165.8000000000002</v>
      </c>
      <c r="H65" s="31">
        <v>2860</v>
      </c>
      <c r="I65" s="29" t="s">
        <v>22</v>
      </c>
      <c r="J65" s="29" t="s">
        <v>14</v>
      </c>
      <c r="K65" s="32">
        <v>-23834.2</v>
      </c>
      <c r="L65" s="32">
        <v>-23140</v>
      </c>
      <c r="M65" s="33">
        <v>-2.1909041095890411E-2</v>
      </c>
      <c r="N65" s="33">
        <v>-2.8931506849315069E-2</v>
      </c>
      <c r="O65" s="32">
        <v>569.6350684931507</v>
      </c>
      <c r="P65" s="32">
        <v>752.21917808219177</v>
      </c>
      <c r="Q65" s="34">
        <v>-23264.564931506851</v>
      </c>
      <c r="R65" s="34">
        <v>-23140</v>
      </c>
      <c r="S65" s="35" t="str">
        <f>IF(inizio-$A65&gt;0,"old","new")&amp;IF(F65&gt;0,"+","-")</f>
        <v>new-</v>
      </c>
    </row>
  </sheetData>
  <sheetCalcPr fullCalcOnLoad="1"/>
  <dataConsolidate/>
  <pageMargins left="0.75" right="0.75" top="1" bottom="1" header="0.5" footer="0.5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="140" workbookViewId="0"/>
  </sheetViews>
  <sheetFormatPr defaultColWidth="9.1796875" defaultRowHeight="12.5" outlineLevelCol="1" x14ac:dyDescent="0.25"/>
  <cols>
    <col min="1" max="1" width="9.26953125" style="1" bestFit="1" customWidth="1"/>
    <col min="2" max="2" width="10.26953125" style="1" bestFit="1" customWidth="1"/>
    <col min="3" max="3" width="24.81640625" style="1" bestFit="1" customWidth="1"/>
    <col min="4" max="4" width="17.1796875" style="1" customWidth="1" outlineLevel="1"/>
    <col min="5" max="6" width="13.26953125" style="1" customWidth="1" outlineLevel="1"/>
    <col min="7" max="7" width="15.36328125" style="1" bestFit="1" customWidth="1"/>
    <col min="8" max="8" width="13" style="1" bestFit="1" customWidth="1"/>
    <col min="9" max="10" width="14.26953125" style="1" bestFit="1" customWidth="1"/>
    <col min="11" max="11" width="15.81640625" style="1" bestFit="1" customWidth="1"/>
    <col min="12" max="16384" width="9.1796875" style="1"/>
  </cols>
  <sheetData>
    <row r="1" spans="1:11" x14ac:dyDescent="0.25">
      <c r="A1" s="3" t="s">
        <v>74</v>
      </c>
      <c r="B1" s="17" t="s">
        <v>75</v>
      </c>
    </row>
    <row r="3" spans="1:11" x14ac:dyDescent="0.25">
      <c r="A3" s="8" t="s">
        <v>80</v>
      </c>
      <c r="B3" s="3" t="s">
        <v>26</v>
      </c>
      <c r="C3" s="3" t="s">
        <v>28</v>
      </c>
      <c r="D3" s="3" t="s">
        <v>67</v>
      </c>
      <c r="E3" s="3" t="s">
        <v>69</v>
      </c>
      <c r="F3" s="3" t="s">
        <v>70</v>
      </c>
      <c r="G3" s="3" t="s">
        <v>71</v>
      </c>
      <c r="H3" s="3" t="s">
        <v>87</v>
      </c>
      <c r="I3" s="3" t="s">
        <v>88</v>
      </c>
      <c r="J3" s="41" t="s">
        <v>89</v>
      </c>
      <c r="K3" s="3" t="s">
        <v>68</v>
      </c>
    </row>
    <row r="4" spans="1:11" x14ac:dyDescent="0.25">
      <c r="A4" s="11" t="s">
        <v>49</v>
      </c>
      <c r="B4" s="2" t="s">
        <v>22</v>
      </c>
      <c r="C4" s="1" t="s">
        <v>8</v>
      </c>
      <c r="D4" s="13">
        <f>SUMIFS(Dati!$F:$F,Dati!$S:$S,"Old*",Dati!$E:$E,$A4,Dati!$D:$D,$B$1)</f>
        <v>341000</v>
      </c>
      <c r="E4" s="13">
        <f>SUMIFS(Dati!$F:$F,Dati!$S:$S,"New+",Dati!$E:$E,$A4,Dati!$D:$D,$B$1)</f>
        <v>141000</v>
      </c>
      <c r="F4" s="13">
        <f>SUMIFS(Dati!$F:$F,Dati!$S:$S,"New-",Dati!$E:$E,$A4,Dati!$D:$D,$B$1)</f>
        <v>0</v>
      </c>
      <c r="G4" s="13">
        <f>SUMIFS(Dati!G:G,Dati!D:D,$B$1,Dati!E:E,$A4)</f>
        <v>-17000</v>
      </c>
      <c r="H4" s="13">
        <f>SUMIFS(Dati!$O:$O,Dati!$S:$S,"new+",Dati!$E:$E,$A4,Dati!$D:$D,$B$1)</f>
        <v>-1023.6986301369865</v>
      </c>
      <c r="I4" s="13">
        <f>SUMIFS(Dati!$O:$O,Dati!$S:$S,"Old+",Dati!$E:$E,$A4,Dati!$D:$D,$B$1)</f>
        <v>-4951.5068493150693</v>
      </c>
      <c r="J4" s="42">
        <f>SUM(H4:I4)</f>
        <v>-5975.2054794520554</v>
      </c>
      <c r="K4" s="22">
        <f>SUM(D4:I4)</f>
        <v>459024.79452054796</v>
      </c>
    </row>
    <row r="5" spans="1:11" x14ac:dyDescent="0.25">
      <c r="A5" s="11" t="s">
        <v>51</v>
      </c>
      <c r="B5" s="2" t="s">
        <v>22</v>
      </c>
      <c r="C5" s="1" t="s">
        <v>9</v>
      </c>
      <c r="D5" s="13">
        <f>SUMIFS(Dati!$F:$F,Dati!$S:$S,"Old*",Dati!$E:$E,$A5,Dati!$D:$D,$B$1)</f>
        <v>0</v>
      </c>
      <c r="E5" s="13">
        <f>SUMIFS(Dati!$F:$F,Dati!$S:$S,"New+",Dati!$E:$E,$A5,Dati!$D:$D,$B$1)</f>
        <v>0</v>
      </c>
      <c r="F5" s="13">
        <f>SUMIFS(Dati!$F:$F,Dati!$S:$S,"New-",Dati!$E:$E,$A5,Dati!$D:$D,$B$1)</f>
        <v>0</v>
      </c>
      <c r="G5" s="13">
        <f>SUMIFS(Dati!G:G,Dati!D:D,$B$1,Dati!E:E,$A5)</f>
        <v>0</v>
      </c>
      <c r="H5" s="13">
        <f>SUMIFS(Dati!$O:$O,Dati!$S:$S,"new+",Dati!$E:$E,$A5,Dati!$D:$D,$B$1)</f>
        <v>0</v>
      </c>
      <c r="I5" s="13">
        <f>SUMIFS(Dati!$O:$O,Dati!$S:$S,"Old+",Dati!$E:$E,$A5,Dati!$D:$D,$B$1)</f>
        <v>0</v>
      </c>
      <c r="J5" s="42">
        <f t="shared" ref="J5:J23" si="0">SUM(H5:I5)</f>
        <v>0</v>
      </c>
      <c r="K5" s="22">
        <f t="shared" ref="K5:K23" si="1">SUM(D5:I5)</f>
        <v>0</v>
      </c>
    </row>
    <row r="6" spans="1:11" x14ac:dyDescent="0.25">
      <c r="A6" s="11" t="s">
        <v>79</v>
      </c>
      <c r="B6" s="2" t="s">
        <v>22</v>
      </c>
      <c r="C6" s="1" t="s">
        <v>11</v>
      </c>
      <c r="D6" s="13">
        <f>SUMIFS(Dati!$F:$F,Dati!$S:$S,"Old*",Dati!$E:$E,$A6,Dati!$D:$D,$B$1)</f>
        <v>391000</v>
      </c>
      <c r="E6" s="13">
        <f>SUMIFS(Dati!$F:$F,Dati!$S:$S,"New+",Dati!$E:$E,$A6,Dati!$D:$D,$B$1)</f>
        <v>0</v>
      </c>
      <c r="F6" s="13">
        <f>SUMIFS(Dati!$F:$F,Dati!$S:$S,"New-",Dati!$E:$E,$A6,Dati!$D:$D,$B$1)</f>
        <v>0</v>
      </c>
      <c r="G6" s="13">
        <f>SUMIFS(Dati!G:G,Dati!D:D,$B$1,Dati!E:E,$A6)</f>
        <v>-91800</v>
      </c>
      <c r="H6" s="13">
        <f>SUMIFS(Dati!$O:$O,Dati!$S:$S,"new+",Dati!$E:$E,$A6,Dati!$D:$D,$B$1)</f>
        <v>0</v>
      </c>
      <c r="I6" s="13">
        <f>SUMIFS(Dati!$O:$O,Dati!$S:$S,"Old+",Dati!$E:$E,$A6,Dati!$D:$D,$B$1)</f>
        <v>-15147.661369863015</v>
      </c>
      <c r="J6" s="42">
        <f t="shared" si="0"/>
        <v>-15147.661369863015</v>
      </c>
      <c r="K6" s="22">
        <f t="shared" si="1"/>
        <v>284052.33863013698</v>
      </c>
    </row>
    <row r="7" spans="1:11" x14ac:dyDescent="0.25">
      <c r="A7" s="11" t="s">
        <v>42</v>
      </c>
      <c r="B7" s="2" t="s">
        <v>22</v>
      </c>
      <c r="C7" s="1" t="s">
        <v>12</v>
      </c>
      <c r="D7" s="13">
        <f>SUMIFS(Dati!$F:$F,Dati!$S:$S,"Old*",Dati!$E:$E,$A7,Dati!$D:$D,$B$1)</f>
        <v>0</v>
      </c>
      <c r="E7" s="13">
        <f>SUMIFS(Dati!$F:$F,Dati!$S:$S,"New+",Dati!$E:$E,$A7,Dati!$D:$D,$B$1)</f>
        <v>0</v>
      </c>
      <c r="F7" s="13">
        <f>SUMIFS(Dati!$F:$F,Dati!$S:$S,"New-",Dati!$E:$E,$A7,Dati!$D:$D,$B$1)</f>
        <v>0</v>
      </c>
      <c r="G7" s="13">
        <f>SUMIFS(Dati!G:G,Dati!D:D,$B$1,Dati!E:E,$A7)</f>
        <v>0</v>
      </c>
      <c r="H7" s="13">
        <f>SUMIFS(Dati!$O:$O,Dati!$S:$S,"new+",Dati!$E:$E,$A7,Dati!$D:$D,$B$1)</f>
        <v>0</v>
      </c>
      <c r="I7" s="13">
        <f>SUMIFS(Dati!$O:$O,Dati!$S:$S,"Old+",Dati!$E:$E,$A7,Dati!$D:$D,$B$1)</f>
        <v>0</v>
      </c>
      <c r="J7" s="42">
        <f t="shared" si="0"/>
        <v>0</v>
      </c>
      <c r="K7" s="22">
        <f t="shared" si="1"/>
        <v>0</v>
      </c>
    </row>
    <row r="8" spans="1:11" x14ac:dyDescent="0.25">
      <c r="A8" s="11" t="s">
        <v>40</v>
      </c>
      <c r="B8" s="2" t="s">
        <v>22</v>
      </c>
      <c r="C8" s="1" t="s">
        <v>13</v>
      </c>
      <c r="D8" s="13">
        <f>SUMIFS(Dati!$F:$F,Dati!$S:$S,"Old*",Dati!$E:$E,$A8,Dati!$D:$D,$B$1)</f>
        <v>245000</v>
      </c>
      <c r="E8" s="13">
        <f>SUMIFS(Dati!$F:$F,Dati!$S:$S,"New+",Dati!$E:$E,$A8,Dati!$D:$D,$B$1)</f>
        <v>145000</v>
      </c>
      <c r="F8" s="13">
        <f>SUMIFS(Dati!$F:$F,Dati!$S:$S,"New-",Dati!$E:$E,$A8,Dati!$D:$D,$B$1)</f>
        <v>0</v>
      </c>
      <c r="G8" s="13">
        <f>SUMIFS(Dati!G:G,Dati!D:D,$B$1,Dati!E:E,$A8)</f>
        <v>-245000</v>
      </c>
      <c r="H8" s="13">
        <f>SUMIFS(Dati!$O:$O,Dati!$S:$S,"new+",Dati!$E:$E,$A8,Dati!$D:$D,$B$1)</f>
        <v>-3507.728767123288</v>
      </c>
      <c r="I8" s="13">
        <f>SUMIFS(Dati!$O:$O,Dati!$S:$S,"Old+",Dati!$E:$E,$A8,Dati!$D:$D,$B$1)</f>
        <v>0</v>
      </c>
      <c r="J8" s="42">
        <f t="shared" si="0"/>
        <v>-3507.728767123288</v>
      </c>
      <c r="K8" s="22">
        <f t="shared" si="1"/>
        <v>141492.27123287672</v>
      </c>
    </row>
    <row r="9" spans="1:11" x14ac:dyDescent="0.25">
      <c r="A9" s="11" t="s">
        <v>48</v>
      </c>
      <c r="B9" s="2" t="s">
        <v>22</v>
      </c>
      <c r="C9" s="1" t="s">
        <v>14</v>
      </c>
      <c r="D9" s="13">
        <f>SUMIFS(Dati!$F:$F,Dati!$S:$S,"Old*",Dati!$E:$E,$A9,Dati!$D:$D,$B$1)</f>
        <v>947000</v>
      </c>
      <c r="E9" s="13">
        <f>SUMIFS(Dati!$F:$F,Dati!$S:$S,"New+",Dati!$E:$E,$A9,Dati!$D:$D,$B$1)</f>
        <v>0</v>
      </c>
      <c r="F9" s="13">
        <f>SUMIFS(Dati!$F:$F,Dati!$S:$S,"New-",Dati!$E:$E,$A9,Dati!$D:$D,$B$1)</f>
        <v>-26000</v>
      </c>
      <c r="G9" s="13">
        <f>SUMIFS(Dati!G:G,Dati!D:D,$B$1,Dati!E:E,$A9)</f>
        <v>-172264.4</v>
      </c>
      <c r="H9" s="13">
        <f>SUMIFS(Dati!$O:$O,Dati!$S:$S,"new+",Dati!$E:$E,$A9,Dati!$D:$D,$B$1)</f>
        <v>0</v>
      </c>
      <c r="I9" s="13">
        <f>SUMIFS(Dati!$O:$O,Dati!$S:$S,"Old+",Dati!$E:$E,$A9,Dati!$D:$D,$B$1)</f>
        <v>-36249.932054794524</v>
      </c>
      <c r="J9" s="42">
        <f t="shared" si="0"/>
        <v>-36249.932054794524</v>
      </c>
      <c r="K9" s="22">
        <f t="shared" si="1"/>
        <v>712485.66794520547</v>
      </c>
    </row>
    <row r="10" spans="1:11" x14ac:dyDescent="0.25">
      <c r="A10" s="11" t="s">
        <v>78</v>
      </c>
      <c r="B10" s="2" t="s">
        <v>22</v>
      </c>
      <c r="C10" s="1" t="s">
        <v>15</v>
      </c>
      <c r="D10" s="13">
        <f>SUMIFS(Dati!$F:$F,Dati!$S:$S,"Old*",Dati!$E:$E,$A10,Dati!$D:$D,$B$1)</f>
        <v>393000</v>
      </c>
      <c r="E10" s="13">
        <f>SUMIFS(Dati!$F:$F,Dati!$S:$S,"New+",Dati!$E:$E,$A10,Dati!$D:$D,$B$1)</f>
        <v>0</v>
      </c>
      <c r="F10" s="13">
        <f>SUMIFS(Dati!$F:$F,Dati!$S:$S,"New-",Dati!$E:$E,$A10,Dati!$D:$D,$B$1)</f>
        <v>0</v>
      </c>
      <c r="G10" s="13">
        <f>SUMIFS(Dati!G:G,Dati!D:D,$B$1,Dati!E:E,$A10)</f>
        <v>-78600</v>
      </c>
      <c r="H10" s="13">
        <f>SUMIFS(Dati!$O:$O,Dati!$S:$S,"new+",Dati!$E:$E,$A10,Dati!$D:$D,$B$1)</f>
        <v>0</v>
      </c>
      <c r="I10" s="13">
        <f>SUMIFS(Dati!$O:$O,Dati!$S:$S,"Old+",Dati!$E:$E,$A10,Dati!$D:$D,$B$1)</f>
        <v>-38051.44438356164</v>
      </c>
      <c r="J10" s="42">
        <f t="shared" si="0"/>
        <v>-38051.44438356164</v>
      </c>
      <c r="K10" s="22">
        <f t="shared" si="1"/>
        <v>276348.55561643839</v>
      </c>
    </row>
    <row r="11" spans="1:11" x14ac:dyDescent="0.25">
      <c r="A11" s="11" t="s">
        <v>45</v>
      </c>
      <c r="B11" s="2" t="s">
        <v>22</v>
      </c>
      <c r="C11" s="1" t="s">
        <v>16</v>
      </c>
      <c r="D11" s="13">
        <f>SUMIFS(Dati!$F:$F,Dati!$S:$S,"Old*",Dati!$E:$E,$A11,Dati!$D:$D,$B$1)</f>
        <v>186000</v>
      </c>
      <c r="E11" s="13">
        <f>SUMIFS(Dati!$F:$F,Dati!$S:$S,"New+",Dati!$E:$E,$A11,Dati!$D:$D,$B$1)</f>
        <v>0</v>
      </c>
      <c r="F11" s="13">
        <f>SUMIFS(Dati!$F:$F,Dati!$S:$S,"New-",Dati!$E:$E,$A11,Dati!$D:$D,$B$1)</f>
        <v>0</v>
      </c>
      <c r="G11" s="13">
        <f>SUMIFS(Dati!G:G,Dati!D:D,$B$1,Dati!E:E,$A11)</f>
        <v>-62012.4</v>
      </c>
      <c r="H11" s="13">
        <f>SUMIFS(Dati!$O:$O,Dati!$S:$S,"new+",Dati!$E:$E,$A11,Dati!$D:$D,$B$1)</f>
        <v>0</v>
      </c>
      <c r="I11" s="13">
        <f>SUMIFS(Dati!$O:$O,Dati!$S:$S,"Old+",Dati!$E:$E,$A11,Dati!$D:$D,$B$1)</f>
        <v>-10803.287671232878</v>
      </c>
      <c r="J11" s="42">
        <f t="shared" si="0"/>
        <v>-10803.287671232878</v>
      </c>
      <c r="K11" s="22">
        <f t="shared" si="1"/>
        <v>113184.31232876713</v>
      </c>
    </row>
    <row r="12" spans="1:11" x14ac:dyDescent="0.25">
      <c r="A12" s="11" t="s">
        <v>53</v>
      </c>
      <c r="B12" s="2" t="s">
        <v>22</v>
      </c>
      <c r="C12" s="1" t="s">
        <v>17</v>
      </c>
      <c r="D12" s="13">
        <f>SUMIFS(Dati!$F:$F,Dati!$S:$S,"Old*",Dati!$E:$E,$A12,Dati!$D:$D,$B$1)</f>
        <v>0</v>
      </c>
      <c r="E12" s="13">
        <f>SUMIFS(Dati!$F:$F,Dati!$S:$S,"New+",Dati!$E:$E,$A12,Dati!$D:$D,$B$1)</f>
        <v>21000</v>
      </c>
      <c r="F12" s="13">
        <f>SUMIFS(Dati!$F:$F,Dati!$S:$S,"New-",Dati!$E:$E,$A12,Dati!$D:$D,$B$1)</f>
        <v>0</v>
      </c>
      <c r="G12" s="13">
        <f>SUMIFS(Dati!G:G,Dati!D:D,$B$1,Dati!E:E,$A12)</f>
        <v>0</v>
      </c>
      <c r="H12" s="13">
        <f>SUMIFS(Dati!$O:$O,Dati!$S:$S,"new+",Dati!$E:$E,$A12,Dati!$D:$D,$B$1)</f>
        <v>-508.01589041095895</v>
      </c>
      <c r="I12" s="13">
        <f>SUMIFS(Dati!$O:$O,Dati!$S:$S,"Old+",Dati!$E:$E,$A12,Dati!$D:$D,$B$1)</f>
        <v>0</v>
      </c>
      <c r="J12" s="42">
        <f t="shared" si="0"/>
        <v>-508.01589041095895</v>
      </c>
      <c r="K12" s="22">
        <f t="shared" si="1"/>
        <v>20491.984109589041</v>
      </c>
    </row>
    <row r="13" spans="1:11" x14ac:dyDescent="0.25">
      <c r="A13" s="11" t="s">
        <v>38</v>
      </c>
      <c r="B13" s="2" t="s">
        <v>22</v>
      </c>
      <c r="C13" s="1" t="s">
        <v>18</v>
      </c>
      <c r="D13" s="13">
        <f>SUMIFS(Dati!$F:$F,Dati!$S:$S,"Old*",Dati!$E:$E,$A13,Dati!$D:$D,$B$1)</f>
        <v>417000</v>
      </c>
      <c r="E13" s="13">
        <f>SUMIFS(Dati!$F:$F,Dati!$S:$S,"New+",Dati!$E:$E,$A13,Dati!$D:$D,$B$1)</f>
        <v>0</v>
      </c>
      <c r="F13" s="13">
        <f>SUMIFS(Dati!$F:$F,Dati!$S:$S,"New-",Dati!$E:$E,$A13,Dati!$D:$D,$B$1)</f>
        <v>0</v>
      </c>
      <c r="G13" s="13">
        <f>SUMIFS(Dati!G:G,Dati!D:D,$B$1,Dati!E:E,$A13)</f>
        <v>-98460.6</v>
      </c>
      <c r="H13" s="13">
        <f>SUMIFS(Dati!$O:$O,Dati!$S:$S,"new+",Dati!$E:$E,$A13,Dati!$D:$D,$B$1)</f>
        <v>0</v>
      </c>
      <c r="I13" s="13">
        <f>SUMIFS(Dati!$O:$O,Dati!$S:$S,"Old+",Dati!$E:$E,$A13,Dati!$D:$D,$B$1)</f>
        <v>-48440.547945205486</v>
      </c>
      <c r="J13" s="42">
        <f t="shared" si="0"/>
        <v>-48440.547945205486</v>
      </c>
      <c r="K13" s="22">
        <f t="shared" si="1"/>
        <v>270098.85205479455</v>
      </c>
    </row>
    <row r="14" spans="1:11" x14ac:dyDescent="0.25">
      <c r="A14" s="11" t="s">
        <v>52</v>
      </c>
      <c r="B14" s="2" t="s">
        <v>22</v>
      </c>
      <c r="C14" s="1" t="s">
        <v>19</v>
      </c>
      <c r="D14" s="13">
        <f>SUMIFS(Dati!$F:$F,Dati!$S:$S,"Old*",Dati!$E:$E,$A14,Dati!$D:$D,$B$1)</f>
        <v>0</v>
      </c>
      <c r="E14" s="13">
        <f>SUMIFS(Dati!$F:$F,Dati!$S:$S,"New+",Dati!$E:$E,$A14,Dati!$D:$D,$B$1)</f>
        <v>0</v>
      </c>
      <c r="F14" s="13">
        <f>SUMIFS(Dati!$F:$F,Dati!$S:$S,"New-",Dati!$E:$E,$A14,Dati!$D:$D,$B$1)</f>
        <v>0</v>
      </c>
      <c r="G14" s="13">
        <f>SUMIFS(Dati!G:G,Dati!D:D,$B$1,Dati!E:E,$A14)</f>
        <v>0</v>
      </c>
      <c r="H14" s="13">
        <f>SUMIFS(Dati!$O:$O,Dati!$S:$S,"new+",Dati!$E:$E,$A14,Dati!$D:$D,$B$1)</f>
        <v>0</v>
      </c>
      <c r="I14" s="13">
        <f>SUMIFS(Dati!$O:$O,Dati!$S:$S,"Old+",Dati!$E:$E,$A14,Dati!$D:$D,$B$1)</f>
        <v>0</v>
      </c>
      <c r="J14" s="42">
        <f t="shared" si="0"/>
        <v>0</v>
      </c>
      <c r="K14" s="22">
        <f t="shared" si="1"/>
        <v>0</v>
      </c>
    </row>
    <row r="15" spans="1:11" x14ac:dyDescent="0.25">
      <c r="A15" s="11" t="s">
        <v>37</v>
      </c>
      <c r="B15" s="2" t="s">
        <v>22</v>
      </c>
      <c r="C15" s="1" t="s">
        <v>20</v>
      </c>
      <c r="D15" s="13">
        <f>SUMIFS(Dati!$F:$F,Dati!$S:$S,"Old*",Dati!$E:$E,$A15,Dati!$D:$D,$B$1)</f>
        <v>433000</v>
      </c>
      <c r="E15" s="13">
        <f>SUMIFS(Dati!$F:$F,Dati!$S:$S,"New+",Dati!$E:$E,$A15,Dati!$D:$D,$B$1)</f>
        <v>0</v>
      </c>
      <c r="F15" s="13">
        <f>SUMIFS(Dati!$F:$F,Dati!$S:$S,"New-",Dati!$E:$E,$A15,Dati!$D:$D,$B$1)</f>
        <v>0</v>
      </c>
      <c r="G15" s="13">
        <f>SUMIFS(Dati!G:G,Dati!D:D,$B$1,Dati!E:E,$A15)</f>
        <v>-69834.899999999994</v>
      </c>
      <c r="H15" s="13">
        <f>SUMIFS(Dati!$O:$O,Dati!$S:$S,"new+",Dati!$E:$E,$A15,Dati!$D:$D,$B$1)</f>
        <v>0</v>
      </c>
      <c r="I15" s="13">
        <f>SUMIFS(Dati!$O:$O,Dati!$S:$S,"Old+",Dati!$E:$E,$A15,Dati!$D:$D,$B$1)</f>
        <v>-12574.794520547948</v>
      </c>
      <c r="J15" s="42">
        <f t="shared" si="0"/>
        <v>-12574.794520547948</v>
      </c>
      <c r="K15" s="22">
        <f t="shared" si="1"/>
        <v>350590.30547945201</v>
      </c>
    </row>
    <row r="16" spans="1:11" x14ac:dyDescent="0.25">
      <c r="A16" s="11" t="s">
        <v>39</v>
      </c>
      <c r="B16" s="2" t="s">
        <v>22</v>
      </c>
      <c r="C16" s="1" t="s">
        <v>21</v>
      </c>
      <c r="D16" s="13">
        <f>SUMIFS(Dati!$F:$F,Dati!$S:$S,"Old*",Dati!$E:$E,$A16,Dati!$D:$D,$B$1)</f>
        <v>0</v>
      </c>
      <c r="E16" s="13">
        <f>SUMIFS(Dati!$F:$F,Dati!$S:$S,"New+",Dati!$E:$E,$A16,Dati!$D:$D,$B$1)</f>
        <v>0</v>
      </c>
      <c r="F16" s="13">
        <f>SUMIFS(Dati!$F:$F,Dati!$S:$S,"New-",Dati!$E:$E,$A16,Dati!$D:$D,$B$1)</f>
        <v>0</v>
      </c>
      <c r="G16" s="13">
        <f>SUMIFS(Dati!G:G,Dati!D:D,$B$1,Dati!E:E,$A16)</f>
        <v>0</v>
      </c>
      <c r="H16" s="13">
        <f>SUMIFS(Dati!$O:$O,Dati!$S:$S,"new+",Dati!$E:$E,$A16,Dati!$D:$D,$B$1)</f>
        <v>0</v>
      </c>
      <c r="I16" s="13">
        <f>SUMIFS(Dati!$O:$O,Dati!$S:$S,"Old+",Dati!$E:$E,$A16,Dati!$D:$D,$B$1)</f>
        <v>0</v>
      </c>
      <c r="J16" s="42">
        <f t="shared" si="0"/>
        <v>0</v>
      </c>
      <c r="K16" s="22">
        <f t="shared" si="1"/>
        <v>0</v>
      </c>
    </row>
    <row r="17" spans="1:11" x14ac:dyDescent="0.25">
      <c r="A17" s="11" t="s">
        <v>47</v>
      </c>
      <c r="B17" s="2" t="s">
        <v>22</v>
      </c>
      <c r="C17" s="1" t="s">
        <v>5</v>
      </c>
      <c r="D17" s="13">
        <f>SUMIFS(Dati!$F:$F,Dati!$S:$S,"Old*",Dati!$E:$E,$A17,Dati!$D:$D,$B$1)</f>
        <v>0</v>
      </c>
      <c r="E17" s="13">
        <f>SUMIFS(Dati!$F:$F,Dati!$S:$S,"New+",Dati!$E:$E,$A17,Dati!$D:$D,$B$1)</f>
        <v>0</v>
      </c>
      <c r="F17" s="13">
        <f>SUMIFS(Dati!$F:$F,Dati!$S:$S,"New-",Dati!$E:$E,$A17,Dati!$D:$D,$B$1)</f>
        <v>0</v>
      </c>
      <c r="G17" s="13">
        <f>SUMIFS(Dati!G:G,Dati!D:D,$B$1,Dati!E:E,$A17)</f>
        <v>0</v>
      </c>
      <c r="H17" s="13">
        <f>SUMIFS(Dati!$O:$O,Dati!$S:$S,"new+",Dati!$E:$E,$A17,Dati!$D:$D,$B$1)</f>
        <v>0</v>
      </c>
      <c r="I17" s="13">
        <f>SUMIFS(Dati!$O:$O,Dati!$S:$S,"Old+",Dati!$E:$E,$A17,Dati!$D:$D,$B$1)</f>
        <v>0</v>
      </c>
      <c r="J17" s="42">
        <f t="shared" si="0"/>
        <v>0</v>
      </c>
      <c r="K17" s="22">
        <f t="shared" si="1"/>
        <v>0</v>
      </c>
    </row>
    <row r="18" spans="1:11" x14ac:dyDescent="0.25">
      <c r="A18" s="11" t="s">
        <v>44</v>
      </c>
      <c r="B18" s="2" t="s">
        <v>23</v>
      </c>
      <c r="C18" s="1" t="s">
        <v>0</v>
      </c>
      <c r="D18" s="13">
        <f>SUMIFS(Dati!$F:$F,Dati!$S:$S,"Old*",Dati!$E:$E,$A18,Dati!$D:$D,$B$1)</f>
        <v>0</v>
      </c>
      <c r="E18" s="13">
        <f>SUMIFS(Dati!$F:$F,Dati!$S:$S,"New+",Dati!$E:$E,$A18,Dati!$D:$D,$B$1)</f>
        <v>0</v>
      </c>
      <c r="F18" s="13">
        <f>SUMIFS(Dati!$F:$F,Dati!$S:$S,"New-",Dati!$E:$E,$A18,Dati!$D:$D,$B$1)</f>
        <v>0</v>
      </c>
      <c r="G18" s="13">
        <f>SUMIFS(Dati!G:G,Dati!D:D,$B$1,Dati!E:E,$A18)</f>
        <v>0</v>
      </c>
      <c r="H18" s="13">
        <f>SUMIFS(Dati!$O:$O,Dati!$S:$S,"new+",Dati!$E:$E,$A18,Dati!$D:$D,$B$1)</f>
        <v>0</v>
      </c>
      <c r="I18" s="13">
        <f>SUMIFS(Dati!$O:$O,Dati!$S:$S,"Old+",Dati!$E:$E,$A18,Dati!$D:$D,$B$1)</f>
        <v>0</v>
      </c>
      <c r="J18" s="42">
        <f t="shared" si="0"/>
        <v>0</v>
      </c>
      <c r="K18" s="22">
        <f t="shared" si="1"/>
        <v>0</v>
      </c>
    </row>
    <row r="19" spans="1:11" x14ac:dyDescent="0.25">
      <c r="A19" s="11" t="s">
        <v>36</v>
      </c>
      <c r="B19" s="2" t="s">
        <v>23</v>
      </c>
      <c r="C19" s="1" t="s">
        <v>1</v>
      </c>
      <c r="D19" s="13">
        <f>SUMIFS(Dati!$F:$F,Dati!$S:$S,"Old*",Dati!$E:$E,$A19,Dati!$D:$D,$B$1)</f>
        <v>0</v>
      </c>
      <c r="E19" s="13">
        <f>SUMIFS(Dati!$F:$F,Dati!$S:$S,"New+",Dati!$E:$E,$A19,Dati!$D:$D,$B$1)</f>
        <v>0</v>
      </c>
      <c r="F19" s="13">
        <f>SUMIFS(Dati!$F:$F,Dati!$S:$S,"New-",Dati!$E:$E,$A19,Dati!$D:$D,$B$1)</f>
        <v>0</v>
      </c>
      <c r="G19" s="13">
        <f>SUMIFS(Dati!G:G,Dati!D:D,$B$1,Dati!E:E,$A19)</f>
        <v>0</v>
      </c>
      <c r="H19" s="13">
        <f>SUMIFS(Dati!$O:$O,Dati!$S:$S,"new+",Dati!$E:$E,$A19,Dati!$D:$D,$B$1)</f>
        <v>0</v>
      </c>
      <c r="I19" s="13">
        <f>SUMIFS(Dati!$O:$O,Dati!$S:$S,"Old+",Dati!$E:$E,$A19,Dati!$D:$D,$B$1)</f>
        <v>0</v>
      </c>
      <c r="J19" s="42">
        <f t="shared" si="0"/>
        <v>0</v>
      </c>
      <c r="K19" s="22">
        <f t="shared" si="1"/>
        <v>0</v>
      </c>
    </row>
    <row r="20" spans="1:11" x14ac:dyDescent="0.25">
      <c r="A20" s="11" t="s">
        <v>43</v>
      </c>
      <c r="B20" s="2" t="s">
        <v>23</v>
      </c>
      <c r="C20" s="1" t="s">
        <v>2</v>
      </c>
      <c r="D20" s="13">
        <f>SUMIFS(Dati!$F:$F,Dati!$S:$S,"Old*",Dati!$E:$E,$A20,Dati!$D:$D,$B$1)</f>
        <v>0</v>
      </c>
      <c r="E20" s="13">
        <f>SUMIFS(Dati!$F:$F,Dati!$S:$S,"New+",Dati!$E:$E,$A20,Dati!$D:$D,$B$1)</f>
        <v>0</v>
      </c>
      <c r="F20" s="13">
        <f>SUMIFS(Dati!$F:$F,Dati!$S:$S,"New-",Dati!$E:$E,$A20,Dati!$D:$D,$B$1)</f>
        <v>0</v>
      </c>
      <c r="G20" s="13">
        <f>SUMIFS(Dati!G:G,Dati!D:D,$B$1,Dati!E:E,$A20)</f>
        <v>0</v>
      </c>
      <c r="H20" s="13">
        <f>SUMIFS(Dati!$O:$O,Dati!$S:$S,"new+",Dati!$E:$E,$A20,Dati!$D:$D,$B$1)</f>
        <v>0</v>
      </c>
      <c r="I20" s="13">
        <f>SUMIFS(Dati!$O:$O,Dati!$S:$S,"Old+",Dati!$E:$E,$A20,Dati!$D:$D,$B$1)</f>
        <v>0</v>
      </c>
      <c r="J20" s="42">
        <f t="shared" si="0"/>
        <v>0</v>
      </c>
      <c r="K20" s="22">
        <f t="shared" si="1"/>
        <v>0</v>
      </c>
    </row>
    <row r="21" spans="1:11" x14ac:dyDescent="0.25">
      <c r="A21" s="11" t="s">
        <v>41</v>
      </c>
      <c r="B21" s="2" t="s">
        <v>23</v>
      </c>
      <c r="C21" s="1" t="s">
        <v>3</v>
      </c>
      <c r="D21" s="13">
        <f>SUMIFS(Dati!$F:$F,Dati!$S:$S,"Old*",Dati!$E:$E,$A21,Dati!$D:$D,$B$1)</f>
        <v>488000</v>
      </c>
      <c r="E21" s="13">
        <f>SUMIFS(Dati!$F:$F,Dati!$S:$S,"New+",Dati!$E:$E,$A21,Dati!$D:$D,$B$1)</f>
        <v>384000</v>
      </c>
      <c r="F21" s="13">
        <f>SUMIFS(Dati!$F:$F,Dati!$S:$S,"New-",Dati!$E:$E,$A21,Dati!$D:$D,$B$1)</f>
        <v>0</v>
      </c>
      <c r="G21" s="13">
        <f>SUMIFS(Dati!G:G,Dati!D:D,$B$1,Dati!E:E,$A21)</f>
        <v>-315000</v>
      </c>
      <c r="H21" s="13">
        <f>SUMIFS(Dati!$O:$O,Dati!$S:$S,"new+",Dati!$E:$E,$A21,Dati!$D:$D,$B$1)</f>
        <v>-22303.561643835619</v>
      </c>
      <c r="I21" s="13">
        <f>SUMIFS(Dati!$O:$O,Dati!$S:$S,"Old+",Dati!$E:$E,$A21,Dati!$D:$D,$B$1)</f>
        <v>-48208.219178082196</v>
      </c>
      <c r="J21" s="42">
        <f t="shared" si="0"/>
        <v>-70511.780821917811</v>
      </c>
      <c r="K21" s="22">
        <f t="shared" si="1"/>
        <v>486488.21917808219</v>
      </c>
    </row>
    <row r="22" spans="1:11" x14ac:dyDescent="0.25">
      <c r="A22" s="11" t="s">
        <v>46</v>
      </c>
      <c r="B22" s="2" t="s">
        <v>23</v>
      </c>
      <c r="C22" s="1" t="s">
        <v>4</v>
      </c>
      <c r="D22" s="13">
        <f>SUMIFS(Dati!$F:$F,Dati!$S:$S,"Old*",Dati!$E:$E,$A22,Dati!$D:$D,$B$1)</f>
        <v>300000</v>
      </c>
      <c r="E22" s="13">
        <f>SUMIFS(Dati!$F:$F,Dati!$S:$S,"New+",Dati!$E:$E,$A22,Dati!$D:$D,$B$1)</f>
        <v>0</v>
      </c>
      <c r="F22" s="13">
        <f>SUMIFS(Dati!$F:$F,Dati!$S:$S,"New-",Dati!$E:$E,$A22,Dati!$D:$D,$B$1)</f>
        <v>0</v>
      </c>
      <c r="G22" s="13">
        <f>SUMIFS(Dati!G:G,Dati!D:D,$B$1,Dati!E:E,$A22)</f>
        <v>-120000</v>
      </c>
      <c r="H22" s="13">
        <f>SUMIFS(Dati!$O:$O,Dati!$S:$S,"new+",Dati!$E:$E,$A22,Dati!$D:$D,$B$1)</f>
        <v>0</v>
      </c>
      <c r="I22" s="13">
        <f>SUMIFS(Dati!$O:$O,Dati!$S:$S,"Old+",Dati!$E:$E,$A22,Dati!$D:$D,$B$1)</f>
        <v>-34849.315068493153</v>
      </c>
      <c r="J22" s="42">
        <f t="shared" si="0"/>
        <v>-34849.315068493153</v>
      </c>
      <c r="K22" s="22">
        <f t="shared" si="1"/>
        <v>145150.68493150684</v>
      </c>
    </row>
    <row r="23" spans="1:11" x14ac:dyDescent="0.25">
      <c r="A23" s="11" t="s">
        <v>50</v>
      </c>
      <c r="B23" s="2" t="s">
        <v>23</v>
      </c>
      <c r="C23" s="1" t="s">
        <v>6</v>
      </c>
      <c r="D23" s="13">
        <f>SUMIFS(Dati!$F:$F,Dati!$S:$S,"Old*",Dati!$E:$E,$A23,Dati!$D:$D,$B$1)</f>
        <v>0</v>
      </c>
      <c r="E23" s="13">
        <f>SUMIFS(Dati!$F:$F,Dati!$S:$S,"New+",Dati!$E:$E,$A23,Dati!$D:$D,$B$1)</f>
        <v>0</v>
      </c>
      <c r="F23" s="13">
        <f>SUMIFS(Dati!$F:$F,Dati!$S:$S,"New-",Dati!$E:$E,$A23,Dati!$D:$D,$B$1)</f>
        <v>0</v>
      </c>
      <c r="G23" s="13">
        <f>SUMIFS(Dati!G:G,Dati!D:D,$B$1,Dati!E:E,$A23)</f>
        <v>0</v>
      </c>
      <c r="H23" s="13">
        <f>SUMIFS(Dati!$O:$O,Dati!$S:$S,"new+",Dati!$E:$E,$A23,Dati!$D:$D,$B$1)</f>
        <v>0</v>
      </c>
      <c r="I23" s="13">
        <f>SUMIFS(Dati!$O:$O,Dati!$S:$S,"Old+",Dati!$E:$E,$A23,Dati!$D:$D,$B$1)</f>
        <v>0</v>
      </c>
      <c r="J23" s="42">
        <f t="shared" si="0"/>
        <v>0</v>
      </c>
      <c r="K23" s="22">
        <f t="shared" si="1"/>
        <v>0</v>
      </c>
    </row>
    <row r="24" spans="1:11" x14ac:dyDescent="0.25">
      <c r="C24" s="3" t="s">
        <v>7</v>
      </c>
      <c r="D24" s="37">
        <f t="shared" ref="D24:K24" si="2">SUM(D4:D23)</f>
        <v>4141000</v>
      </c>
      <c r="E24" s="37">
        <f t="shared" ref="E24:F24" si="3">SUM(E4:E23)</f>
        <v>691000</v>
      </c>
      <c r="F24" s="37">
        <f t="shared" si="3"/>
        <v>-26000</v>
      </c>
      <c r="G24" s="37">
        <f t="shared" si="2"/>
        <v>-1269972.3</v>
      </c>
      <c r="H24" s="37">
        <f t="shared" si="2"/>
        <v>-27343.004931506854</v>
      </c>
      <c r="I24" s="37">
        <f t="shared" ref="I24" si="4">SUM(I4:I23)</f>
        <v>-249276.70904109589</v>
      </c>
      <c r="J24" s="43">
        <f>SUM(J4:J23)</f>
        <v>-276619.71397260274</v>
      </c>
      <c r="K24" s="37">
        <f t="shared" si="2"/>
        <v>3259407.9860273977</v>
      </c>
    </row>
    <row r="25" spans="1:11" x14ac:dyDescent="0.25">
      <c r="C25" s="3"/>
      <c r="D25" s="37"/>
      <c r="E25" s="37"/>
      <c r="F25" s="37"/>
      <c r="G25" s="37"/>
      <c r="H25" s="37"/>
      <c r="I25" s="37"/>
      <c r="J25" s="37"/>
      <c r="K25" s="37"/>
    </row>
    <row r="26" spans="1:11" x14ac:dyDescent="0.25">
      <c r="A26" s="3" t="s">
        <v>74</v>
      </c>
      <c r="B26" s="17" t="s">
        <v>82</v>
      </c>
    </row>
    <row r="28" spans="1:11" x14ac:dyDescent="0.25">
      <c r="A28" s="8" t="s">
        <v>80</v>
      </c>
      <c r="B28" s="3" t="s">
        <v>26</v>
      </c>
      <c r="C28" s="3" t="s">
        <v>28</v>
      </c>
      <c r="D28" s="3" t="s">
        <v>67</v>
      </c>
      <c r="E28" s="3" t="s">
        <v>69</v>
      </c>
      <c r="F28" s="3" t="s">
        <v>70</v>
      </c>
      <c r="G28" s="3" t="s">
        <v>71</v>
      </c>
      <c r="H28" s="3" t="s">
        <v>87</v>
      </c>
      <c r="I28" s="3" t="s">
        <v>88</v>
      </c>
      <c r="J28" s="41" t="s">
        <v>89</v>
      </c>
      <c r="K28" s="3" t="s">
        <v>68</v>
      </c>
    </row>
    <row r="29" spans="1:11" x14ac:dyDescent="0.25">
      <c r="A29" s="11" t="s">
        <v>49</v>
      </c>
      <c r="B29" s="2" t="s">
        <v>22</v>
      </c>
      <c r="C29" s="1" t="s">
        <v>8</v>
      </c>
      <c r="D29" s="13">
        <f>SUMIFS(Dati!$F:$F,Dati!$S:$S,"Old*",Dati!$E:$E,$A29,Dati!$D:$D,$B$26)</f>
        <v>219000</v>
      </c>
      <c r="E29" s="13">
        <f>SUMIFS(Dati!$F:$F,Dati!$S:$S,"New+",Dati!$E:$E,$A29,Dati!$D:$D,$B$26)</f>
        <v>0</v>
      </c>
      <c r="F29" s="13">
        <f>SUMIFS(Dati!$F:$F,Dati!$S:$S,"New-",Dati!$E:$E,$A29,Dati!$D:$D,$B$26)</f>
        <v>0</v>
      </c>
      <c r="G29" s="13">
        <f>SUMIFS(Dati!G:G,Dati!D:D,$B$26,Dati!E:E,$A29)</f>
        <v>-16425</v>
      </c>
      <c r="H29" s="13">
        <f>SUMIFS(Dati!$O:$O,Dati!$S:$S,"new+",Dati!$E:$E,$A29,Dati!$D:$D,$B$26)</f>
        <v>0</v>
      </c>
      <c r="I29" s="13">
        <f>SUMIFS(Dati!$O:$O,Dati!$S:$S,"Old+",Dati!$E:$E,$A29,Dati!$D:$D,$B$26)</f>
        <v>-3180.0000000000005</v>
      </c>
      <c r="J29" s="42">
        <f>SUM(H29:I29)</f>
        <v>-3180.0000000000005</v>
      </c>
      <c r="K29" s="22">
        <f t="shared" ref="K29:K48" si="5">SUM(D29:I29)</f>
        <v>199395</v>
      </c>
    </row>
    <row r="30" spans="1:11" x14ac:dyDescent="0.25">
      <c r="A30" s="11" t="s">
        <v>51</v>
      </c>
      <c r="B30" s="2" t="s">
        <v>22</v>
      </c>
      <c r="C30" s="1" t="s">
        <v>9</v>
      </c>
      <c r="D30" s="13">
        <f>SUMIFS(Dati!$F:$F,Dati!$S:$S,"Old*",Dati!$E:$E,$A30,Dati!$D:$D,$B$26)</f>
        <v>0</v>
      </c>
      <c r="E30" s="13">
        <f>SUMIFS(Dati!$F:$F,Dati!$S:$S,"New+",Dati!$E:$E,$A30,Dati!$D:$D,$B$26)</f>
        <v>0</v>
      </c>
      <c r="F30" s="13">
        <f>SUMIFS(Dati!$F:$F,Dati!$S:$S,"New-",Dati!$E:$E,$A30,Dati!$D:$D,$B$26)</f>
        <v>0</v>
      </c>
      <c r="G30" s="13">
        <f>SUMIFS(Dati!G:G,Dati!D:D,$B$26,Dati!E:E,$A30)</f>
        <v>0</v>
      </c>
      <c r="H30" s="13">
        <f>SUMIFS(Dati!$O:$O,Dati!$S:$S,"new+",Dati!$E:$E,$A30,Dati!$D:$D,$B$26)</f>
        <v>0</v>
      </c>
      <c r="I30" s="13">
        <f>SUMIFS(Dati!$O:$O,Dati!$S:$S,"Old+",Dati!$E:$E,$A30,Dati!$D:$D,$B$26)</f>
        <v>0</v>
      </c>
      <c r="J30" s="42">
        <f t="shared" ref="J30:J48" si="6">SUM(H30:I30)</f>
        <v>0</v>
      </c>
      <c r="K30" s="22">
        <f t="shared" si="5"/>
        <v>0</v>
      </c>
    </row>
    <row r="31" spans="1:11" x14ac:dyDescent="0.25">
      <c r="A31" s="11" t="s">
        <v>79</v>
      </c>
      <c r="B31" s="2" t="s">
        <v>22</v>
      </c>
      <c r="C31" s="1" t="s">
        <v>11</v>
      </c>
      <c r="D31" s="13">
        <f>SUMIFS(Dati!$F:$F,Dati!$S:$S,"Old*",Dati!$E:$E,$A31,Dati!$D:$D,$B$26)</f>
        <v>0</v>
      </c>
      <c r="E31" s="13">
        <f>SUMIFS(Dati!$F:$F,Dati!$S:$S,"New+",Dati!$E:$E,$A31,Dati!$D:$D,$B$26)</f>
        <v>0</v>
      </c>
      <c r="F31" s="13">
        <f>SUMIFS(Dati!$F:$F,Dati!$S:$S,"New-",Dati!$E:$E,$A31,Dati!$D:$D,$B$26)</f>
        <v>0</v>
      </c>
      <c r="G31" s="13">
        <f>SUMIFS(Dati!G:G,Dati!D:D,$B$26,Dati!E:E,$A31)</f>
        <v>0</v>
      </c>
      <c r="H31" s="13">
        <f>SUMIFS(Dati!$O:$O,Dati!$S:$S,"new+",Dati!$E:$E,$A31,Dati!$D:$D,$B$26)</f>
        <v>0</v>
      </c>
      <c r="I31" s="13">
        <f>SUMIFS(Dati!$O:$O,Dati!$S:$S,"Old+",Dati!$E:$E,$A31,Dati!$D:$D,$B$26)</f>
        <v>0</v>
      </c>
      <c r="J31" s="42">
        <f t="shared" si="6"/>
        <v>0</v>
      </c>
      <c r="K31" s="22">
        <f t="shared" si="5"/>
        <v>0</v>
      </c>
    </row>
    <row r="32" spans="1:11" x14ac:dyDescent="0.25">
      <c r="A32" s="11" t="s">
        <v>42</v>
      </c>
      <c r="B32" s="2" t="s">
        <v>22</v>
      </c>
      <c r="C32" s="1" t="s">
        <v>12</v>
      </c>
      <c r="D32" s="13">
        <f>SUMIFS(Dati!$F:$F,Dati!$S:$S,"Old*",Dati!$E:$E,$A32,Dati!$D:$D,$B$26)</f>
        <v>0</v>
      </c>
      <c r="E32" s="13">
        <f>SUMIFS(Dati!$F:$F,Dati!$S:$S,"New+",Dati!$E:$E,$A32,Dati!$D:$D,$B$26)</f>
        <v>0</v>
      </c>
      <c r="F32" s="13">
        <f>SUMIFS(Dati!$F:$F,Dati!$S:$S,"New-",Dati!$E:$E,$A32,Dati!$D:$D,$B$26)</f>
        <v>0</v>
      </c>
      <c r="G32" s="13">
        <f>SUMIFS(Dati!G:G,Dati!D:D,$B$26,Dati!E:E,$A32)</f>
        <v>0</v>
      </c>
      <c r="H32" s="13">
        <f>SUMIFS(Dati!$O:$O,Dati!$S:$S,"new+",Dati!$E:$E,$A32,Dati!$D:$D,$B$26)</f>
        <v>0</v>
      </c>
      <c r="I32" s="13">
        <f>SUMIFS(Dati!$O:$O,Dati!$S:$S,"Old+",Dati!$E:$E,$A32,Dati!$D:$D,$B$26)</f>
        <v>0</v>
      </c>
      <c r="J32" s="42">
        <f t="shared" si="6"/>
        <v>0</v>
      </c>
      <c r="K32" s="22">
        <f t="shared" si="5"/>
        <v>0</v>
      </c>
    </row>
    <row r="33" spans="1:11" x14ac:dyDescent="0.25">
      <c r="A33" s="11" t="s">
        <v>40</v>
      </c>
      <c r="B33" s="2" t="s">
        <v>22</v>
      </c>
      <c r="C33" s="1" t="s">
        <v>13</v>
      </c>
      <c r="D33" s="13">
        <f>SUMIFS(Dati!$F:$F,Dati!$S:$S,"Old*",Dati!$E:$E,$A33,Dati!$D:$D,$B$26)</f>
        <v>0</v>
      </c>
      <c r="E33" s="13">
        <f>SUMIFS(Dati!$F:$F,Dati!$S:$S,"New+",Dati!$E:$E,$A33,Dati!$D:$D,$B$26)</f>
        <v>0</v>
      </c>
      <c r="F33" s="13">
        <f>SUMIFS(Dati!$F:$F,Dati!$S:$S,"New-",Dati!$E:$E,$A33,Dati!$D:$D,$B$26)</f>
        <v>0</v>
      </c>
      <c r="G33" s="13">
        <f>SUMIFS(Dati!G:G,Dati!D:D,$B$26,Dati!E:E,$A33)</f>
        <v>0</v>
      </c>
      <c r="H33" s="13">
        <f>SUMIFS(Dati!$O:$O,Dati!$S:$S,"new+",Dati!$E:$E,$A33,Dati!$D:$D,$B$26)</f>
        <v>0</v>
      </c>
      <c r="I33" s="13">
        <f>SUMIFS(Dati!$O:$O,Dati!$S:$S,"Old+",Dati!$E:$E,$A33,Dati!$D:$D,$B$26)</f>
        <v>0</v>
      </c>
      <c r="J33" s="42">
        <f t="shared" si="6"/>
        <v>0</v>
      </c>
      <c r="K33" s="22">
        <f t="shared" si="5"/>
        <v>0</v>
      </c>
    </row>
    <row r="34" spans="1:11" x14ac:dyDescent="0.25">
      <c r="A34" s="11" t="s">
        <v>48</v>
      </c>
      <c r="B34" s="2" t="s">
        <v>22</v>
      </c>
      <c r="C34" s="1" t="s">
        <v>14</v>
      </c>
      <c r="D34" s="13">
        <f>SUMIFS(Dati!$F:$F,Dati!$S:$S,"Old*",Dati!$E:$E,$A34,Dati!$D:$D,$B$26)</f>
        <v>647000</v>
      </c>
      <c r="E34" s="13">
        <f>SUMIFS(Dati!$F:$F,Dati!$S:$S,"New+",Dati!$E:$E,$A34,Dati!$D:$D,$B$26)</f>
        <v>0</v>
      </c>
      <c r="F34" s="13">
        <f>SUMIFS(Dati!$F:$F,Dati!$S:$S,"New-",Dati!$E:$E,$A34,Dati!$D:$D,$B$26)</f>
        <v>0</v>
      </c>
      <c r="G34" s="13">
        <f>SUMIFS(Dati!G:G,Dati!D:D,$B$26,Dati!E:E,$A34)</f>
        <v>-124950</v>
      </c>
      <c r="H34" s="13">
        <f>SUMIFS(Dati!$O:$O,Dati!$S:$S,"new+",Dati!$E:$E,$A34,Dati!$D:$D,$B$26)</f>
        <v>0</v>
      </c>
      <c r="I34" s="13">
        <f>SUMIFS(Dati!$O:$O,Dati!$S:$S,"Old+",Dati!$E:$E,$A34,Dati!$D:$D,$B$26)</f>
        <v>-25065.311780821918</v>
      </c>
      <c r="J34" s="42">
        <f t="shared" si="6"/>
        <v>-25065.311780821918</v>
      </c>
      <c r="K34" s="22">
        <f t="shared" si="5"/>
        <v>496984.68821917806</v>
      </c>
    </row>
    <row r="35" spans="1:11" x14ac:dyDescent="0.25">
      <c r="A35" s="11" t="s">
        <v>78</v>
      </c>
      <c r="B35" s="2" t="s">
        <v>22</v>
      </c>
      <c r="C35" s="1" t="s">
        <v>15</v>
      </c>
      <c r="D35" s="13">
        <f>SUMIFS(Dati!$F:$F,Dati!$S:$S,"Old*",Dati!$E:$E,$A35,Dati!$D:$D,$B$26)</f>
        <v>327000</v>
      </c>
      <c r="E35" s="13">
        <f>SUMIFS(Dati!$F:$F,Dati!$S:$S,"New+",Dati!$E:$E,$A35,Dati!$D:$D,$B$26)</f>
        <v>0</v>
      </c>
      <c r="F35" s="13">
        <f>SUMIFS(Dati!$F:$F,Dati!$S:$S,"New-",Dati!$E:$E,$A35,Dati!$D:$D,$B$26)</f>
        <v>0</v>
      </c>
      <c r="G35" s="13">
        <f>SUMIFS(Dati!G:G,Dati!D:D,$B$26,Dati!E:E,$A35)</f>
        <v>-163532.70000000001</v>
      </c>
      <c r="H35" s="13">
        <f>SUMIFS(Dati!$O:$O,Dati!$S:$S,"new+",Dati!$E:$E,$A35,Dati!$D:$D,$B$26)</f>
        <v>0</v>
      </c>
      <c r="I35" s="13">
        <f>SUMIFS(Dati!$O:$O,Dati!$S:$S,"Old+",Dati!$E:$E,$A35,Dati!$D:$D,$B$26)</f>
        <v>-31661.12547945205</v>
      </c>
      <c r="J35" s="42">
        <f t="shared" si="6"/>
        <v>-31661.12547945205</v>
      </c>
      <c r="K35" s="22">
        <f t="shared" si="5"/>
        <v>131806.17452054794</v>
      </c>
    </row>
    <row r="36" spans="1:11" x14ac:dyDescent="0.25">
      <c r="A36" s="11" t="s">
        <v>45</v>
      </c>
      <c r="B36" s="2" t="s">
        <v>22</v>
      </c>
      <c r="C36" s="1" t="s">
        <v>16</v>
      </c>
      <c r="D36" s="13">
        <f>SUMIFS(Dati!$F:$F,Dati!$S:$S,"Old*",Dati!$E:$E,$A36,Dati!$D:$D,$B$26)</f>
        <v>199000</v>
      </c>
      <c r="E36" s="13">
        <f>SUMIFS(Dati!$F:$F,Dati!$S:$S,"New+",Dati!$E:$E,$A36,Dati!$D:$D,$B$26)</f>
        <v>0</v>
      </c>
      <c r="F36" s="13">
        <f>SUMIFS(Dati!$F:$F,Dati!$S:$S,"New-",Dati!$E:$E,$A36,Dati!$D:$D,$B$26)</f>
        <v>0</v>
      </c>
      <c r="G36" s="13">
        <f>SUMIFS(Dati!G:G,Dati!D:D,$B$26,Dati!E:E,$A36)</f>
        <v>-123024.6</v>
      </c>
      <c r="H36" s="13">
        <f>SUMIFS(Dati!$O:$O,Dati!$S:$S,"new+",Dati!$E:$E,$A36,Dati!$D:$D,$B$26)</f>
        <v>0</v>
      </c>
      <c r="I36" s="13">
        <f>SUMIFS(Dati!$O:$O,Dati!$S:$S,"Old+",Dati!$E:$E,$A36,Dati!$D:$D,$B$26)</f>
        <v>-11558.356164383564</v>
      </c>
      <c r="J36" s="42">
        <f t="shared" si="6"/>
        <v>-11558.356164383564</v>
      </c>
      <c r="K36" s="22">
        <f t="shared" si="5"/>
        <v>64417.04383561643</v>
      </c>
    </row>
    <row r="37" spans="1:11" x14ac:dyDescent="0.25">
      <c r="A37" s="11" t="s">
        <v>53</v>
      </c>
      <c r="B37" s="2" t="s">
        <v>22</v>
      </c>
      <c r="C37" s="1" t="s">
        <v>17</v>
      </c>
      <c r="D37" s="13">
        <f>SUMIFS(Dati!$F:$F,Dati!$S:$S,"Old*",Dati!$E:$E,$A37,Dati!$D:$D,$B$26)</f>
        <v>0</v>
      </c>
      <c r="E37" s="13">
        <f>SUMIFS(Dati!$F:$F,Dati!$S:$S,"New+",Dati!$E:$E,$A37,Dati!$D:$D,$B$26)</f>
        <v>0</v>
      </c>
      <c r="F37" s="13">
        <f>SUMIFS(Dati!$F:$F,Dati!$S:$S,"New-",Dati!$E:$E,$A37,Dati!$D:$D,$B$26)</f>
        <v>0</v>
      </c>
      <c r="G37" s="13">
        <f>SUMIFS(Dati!G:G,Dati!D:D,$B$26,Dati!E:E,$A37)</f>
        <v>0</v>
      </c>
      <c r="H37" s="13">
        <f>SUMIFS(Dati!$O:$O,Dati!$S:$S,"new+",Dati!$E:$E,$A37,Dati!$D:$D,$B$26)</f>
        <v>0</v>
      </c>
      <c r="I37" s="13">
        <f>SUMIFS(Dati!$O:$O,Dati!$S:$S,"Old+",Dati!$E:$E,$A37,Dati!$D:$D,$B$26)</f>
        <v>0</v>
      </c>
      <c r="J37" s="42">
        <f t="shared" si="6"/>
        <v>0</v>
      </c>
      <c r="K37" s="22">
        <f t="shared" si="5"/>
        <v>0</v>
      </c>
    </row>
    <row r="38" spans="1:11" x14ac:dyDescent="0.25">
      <c r="A38" s="11" t="s">
        <v>38</v>
      </c>
      <c r="B38" s="2" t="s">
        <v>22</v>
      </c>
      <c r="C38" s="1" t="s">
        <v>18</v>
      </c>
      <c r="D38" s="13">
        <f>SUMIFS(Dati!$F:$F,Dati!$S:$S,"Old*",Dati!$E:$E,$A38,Dati!$D:$D,$B$26)</f>
        <v>383000</v>
      </c>
      <c r="E38" s="13">
        <f>SUMIFS(Dati!$F:$F,Dati!$S:$S,"New+",Dati!$E:$E,$A38,Dati!$D:$D,$B$26)</f>
        <v>0</v>
      </c>
      <c r="F38" s="13">
        <f>SUMIFS(Dati!$F:$F,Dati!$S:$S,"New-",Dati!$E:$E,$A38,Dati!$D:$D,$B$26)</f>
        <v>0</v>
      </c>
      <c r="G38" s="13">
        <f>SUMIFS(Dati!G:G,Dati!D:D,$B$26,Dati!E:E,$A38)</f>
        <v>-55394.5</v>
      </c>
      <c r="H38" s="13">
        <f>SUMIFS(Dati!$O:$O,Dati!$S:$S,"new+",Dati!$E:$E,$A38,Dati!$D:$D,$B$26)</f>
        <v>0</v>
      </c>
      <c r="I38" s="13">
        <f>SUMIFS(Dati!$O:$O,Dati!$S:$S,"Old+",Dati!$E:$E,$A38,Dati!$D:$D,$B$26)</f>
        <v>-44490.958904109597</v>
      </c>
      <c r="J38" s="42">
        <f t="shared" si="6"/>
        <v>-44490.958904109597</v>
      </c>
      <c r="K38" s="22">
        <f t="shared" si="5"/>
        <v>283114.5410958904</v>
      </c>
    </row>
    <row r="39" spans="1:11" x14ac:dyDescent="0.25">
      <c r="A39" s="11" t="s">
        <v>52</v>
      </c>
      <c r="B39" s="2" t="s">
        <v>22</v>
      </c>
      <c r="C39" s="1" t="s">
        <v>19</v>
      </c>
      <c r="D39" s="13">
        <f>SUMIFS(Dati!$F:$F,Dati!$S:$S,"Old*",Dati!$E:$E,$A39,Dati!$D:$D,$B$26)</f>
        <v>0</v>
      </c>
      <c r="E39" s="13">
        <f>SUMIFS(Dati!$F:$F,Dati!$S:$S,"New+",Dati!$E:$E,$A39,Dati!$D:$D,$B$26)</f>
        <v>0</v>
      </c>
      <c r="F39" s="13">
        <f>SUMIFS(Dati!$F:$F,Dati!$S:$S,"New-",Dati!$E:$E,$A39,Dati!$D:$D,$B$26)</f>
        <v>0</v>
      </c>
      <c r="G39" s="13">
        <f>SUMIFS(Dati!G:G,Dati!D:D,$B$26,Dati!E:E,$A39)</f>
        <v>0</v>
      </c>
      <c r="H39" s="13">
        <f>SUMIFS(Dati!$O:$O,Dati!$S:$S,"new+",Dati!$E:$E,$A39,Dati!$D:$D,$B$26)</f>
        <v>0</v>
      </c>
      <c r="I39" s="13">
        <f>SUMIFS(Dati!$O:$O,Dati!$S:$S,"Old+",Dati!$E:$E,$A39,Dati!$D:$D,$B$26)</f>
        <v>0</v>
      </c>
      <c r="J39" s="42">
        <f t="shared" si="6"/>
        <v>0</v>
      </c>
      <c r="K39" s="22">
        <f t="shared" si="5"/>
        <v>0</v>
      </c>
    </row>
    <row r="40" spans="1:11" x14ac:dyDescent="0.25">
      <c r="A40" s="11" t="s">
        <v>37</v>
      </c>
      <c r="B40" s="2" t="s">
        <v>22</v>
      </c>
      <c r="C40" s="1" t="s">
        <v>20</v>
      </c>
      <c r="D40" s="13">
        <f>SUMIFS(Dati!$F:$F,Dati!$S:$S,"Old*",Dati!$E:$E,$A40,Dati!$D:$D,$B$26)</f>
        <v>0</v>
      </c>
      <c r="E40" s="13">
        <f>SUMIFS(Dati!$F:$F,Dati!$S:$S,"New+",Dati!$E:$E,$A40,Dati!$D:$D,$B$26)</f>
        <v>0</v>
      </c>
      <c r="F40" s="13">
        <f>SUMIFS(Dati!$F:$F,Dati!$S:$S,"New-",Dati!$E:$E,$A40,Dati!$D:$D,$B$26)</f>
        <v>0</v>
      </c>
      <c r="G40" s="13">
        <f>SUMIFS(Dati!G:G,Dati!D:D,$B$26,Dati!E:E,$A40)</f>
        <v>0</v>
      </c>
      <c r="H40" s="13">
        <f>SUMIFS(Dati!$O:$O,Dati!$S:$S,"new+",Dati!$E:$E,$A40,Dati!$D:$D,$B$26)</f>
        <v>0</v>
      </c>
      <c r="I40" s="13">
        <f>SUMIFS(Dati!$O:$O,Dati!$S:$S,"Old+",Dati!$E:$E,$A40,Dati!$D:$D,$B$26)</f>
        <v>0</v>
      </c>
      <c r="J40" s="42">
        <f t="shared" si="6"/>
        <v>0</v>
      </c>
      <c r="K40" s="22">
        <f t="shared" si="5"/>
        <v>0</v>
      </c>
    </row>
    <row r="41" spans="1:11" x14ac:dyDescent="0.25">
      <c r="A41" s="11" t="s">
        <v>39</v>
      </c>
      <c r="B41" s="2" t="s">
        <v>22</v>
      </c>
      <c r="C41" s="1" t="s">
        <v>21</v>
      </c>
      <c r="D41" s="13">
        <f>SUMIFS(Dati!$F:$F,Dati!$S:$S,"Old*",Dati!$E:$E,$A41,Dati!$D:$D,$B$26)</f>
        <v>0</v>
      </c>
      <c r="E41" s="13">
        <f>SUMIFS(Dati!$F:$F,Dati!$S:$S,"New+",Dati!$E:$E,$A41,Dati!$D:$D,$B$26)</f>
        <v>0</v>
      </c>
      <c r="F41" s="13">
        <f>SUMIFS(Dati!$F:$F,Dati!$S:$S,"New-",Dati!$E:$E,$A41,Dati!$D:$D,$B$26)</f>
        <v>0</v>
      </c>
      <c r="G41" s="13">
        <f>SUMIFS(Dati!G:G,Dati!D:D,$B$26,Dati!E:E,$A41)</f>
        <v>0</v>
      </c>
      <c r="H41" s="13">
        <f>SUMIFS(Dati!$O:$O,Dati!$S:$S,"new+",Dati!$E:$E,$A41,Dati!$D:$D,$B$26)</f>
        <v>0</v>
      </c>
      <c r="I41" s="13">
        <f>SUMIFS(Dati!$O:$O,Dati!$S:$S,"Old+",Dati!$E:$E,$A41,Dati!$D:$D,$B$26)</f>
        <v>0</v>
      </c>
      <c r="J41" s="42">
        <f t="shared" si="6"/>
        <v>0</v>
      </c>
      <c r="K41" s="22">
        <f t="shared" si="5"/>
        <v>0</v>
      </c>
    </row>
    <row r="42" spans="1:11" x14ac:dyDescent="0.25">
      <c r="A42" s="11" t="s">
        <v>47</v>
      </c>
      <c r="B42" s="2" t="s">
        <v>22</v>
      </c>
      <c r="C42" s="1" t="s">
        <v>5</v>
      </c>
      <c r="D42" s="13">
        <f>SUMIFS(Dati!$F:$F,Dati!$S:$S,"Old*",Dati!$E:$E,$A42,Dati!$D:$D,$B$26)</f>
        <v>190000</v>
      </c>
      <c r="E42" s="13">
        <f>SUMIFS(Dati!$F:$F,Dati!$S:$S,"New+",Dati!$E:$E,$A42,Dati!$D:$D,$B$26)</f>
        <v>0</v>
      </c>
      <c r="F42" s="13">
        <f>SUMIFS(Dati!$F:$F,Dati!$S:$S,"New-",Dati!$E:$E,$A42,Dati!$D:$D,$B$26)</f>
        <v>0</v>
      </c>
      <c r="G42" s="13">
        <f>SUMIFS(Dati!G:G,Dati!D:D,$B$26,Dati!E:E,$A42)</f>
        <v>-95000</v>
      </c>
      <c r="H42" s="13">
        <f>SUMIFS(Dati!$O:$O,Dati!$S:$S,"new+",Dati!$E:$E,$A42,Dati!$D:$D,$B$26)</f>
        <v>0</v>
      </c>
      <c r="I42" s="13">
        <f>SUMIFS(Dati!$O:$O,Dati!$S:$S,"Old+",Dati!$E:$E,$A42,Dati!$D:$D,$B$26)</f>
        <v>-22071.232876712333</v>
      </c>
      <c r="J42" s="42">
        <f t="shared" si="6"/>
        <v>-22071.232876712333</v>
      </c>
      <c r="K42" s="22">
        <f t="shared" si="5"/>
        <v>72928.76712328766</v>
      </c>
    </row>
    <row r="43" spans="1:11" x14ac:dyDescent="0.25">
      <c r="A43" s="11" t="s">
        <v>44</v>
      </c>
      <c r="B43" s="2" t="s">
        <v>23</v>
      </c>
      <c r="C43" s="1" t="s">
        <v>0</v>
      </c>
      <c r="D43" s="13">
        <f>SUMIFS(Dati!$F:$F,Dati!$S:$S,"Old*",Dati!$E:$E,$A43,Dati!$D:$D,$B$26)</f>
        <v>265000</v>
      </c>
      <c r="E43" s="13">
        <f>SUMIFS(Dati!$F:$F,Dati!$S:$S,"New+",Dati!$E:$E,$A43,Dati!$D:$D,$B$26)</f>
        <v>0</v>
      </c>
      <c r="F43" s="13">
        <f>SUMIFS(Dati!$F:$F,Dati!$S:$S,"New-",Dati!$E:$E,$A43,Dati!$D:$D,$B$26)</f>
        <v>0</v>
      </c>
      <c r="G43" s="13">
        <f>SUMIFS(Dati!G:G,Dati!D:D,$B$26,Dati!E:E,$A43)</f>
        <v>-212000</v>
      </c>
      <c r="H43" s="13">
        <f>SUMIFS(Dati!$O:$O,Dati!$S:$S,"new+",Dati!$E:$E,$A43,Dati!$D:$D,$B$26)</f>
        <v>0</v>
      </c>
      <c r="I43" s="13">
        <f>SUMIFS(Dati!$O:$O,Dati!$S:$S,"Old+",Dati!$E:$E,$A43,Dati!$D:$D,$B$26)</f>
        <v>-30783.561643835619</v>
      </c>
      <c r="J43" s="42">
        <f t="shared" si="6"/>
        <v>-30783.561643835619</v>
      </c>
      <c r="K43" s="22">
        <f t="shared" si="5"/>
        <v>22216.438356164381</v>
      </c>
    </row>
    <row r="44" spans="1:11" x14ac:dyDescent="0.25">
      <c r="A44" s="11" t="s">
        <v>36</v>
      </c>
      <c r="B44" s="2" t="s">
        <v>23</v>
      </c>
      <c r="C44" s="1" t="s">
        <v>1</v>
      </c>
      <c r="D44" s="13">
        <f>SUMIFS(Dati!$F:$F,Dati!$S:$S,"Old*",Dati!$E:$E,$A44,Dati!$D:$D,$B$26)</f>
        <v>449000</v>
      </c>
      <c r="E44" s="13">
        <f>SUMIFS(Dati!$F:$F,Dati!$S:$S,"New+",Dati!$E:$E,$A44,Dati!$D:$D,$B$26)</f>
        <v>0</v>
      </c>
      <c r="F44" s="13">
        <f>SUMIFS(Dati!$F:$F,Dati!$S:$S,"New-",Dati!$E:$E,$A44,Dati!$D:$D,$B$26)</f>
        <v>0</v>
      </c>
      <c r="G44" s="13">
        <f>SUMIFS(Dati!G:G,Dati!D:D,$B$26,Dati!E:E,$A44)</f>
        <v>-421600</v>
      </c>
      <c r="H44" s="13">
        <f>SUMIFS(Dati!$O:$O,Dati!$S:$S,"new+",Dati!$E:$E,$A44,Dati!$D:$D,$B$26)</f>
        <v>0</v>
      </c>
      <c r="I44" s="13">
        <f>SUMIFS(Dati!$O:$O,Dati!$S:$S,"Old+",Dati!$E:$E,$A44,Dati!$D:$D,$B$26)</f>
        <v>-15914.520547945207</v>
      </c>
      <c r="J44" s="42">
        <f t="shared" si="6"/>
        <v>-15914.520547945207</v>
      </c>
      <c r="K44" s="22">
        <f t="shared" si="5"/>
        <v>11485.479452054793</v>
      </c>
    </row>
    <row r="45" spans="1:11" x14ac:dyDescent="0.25">
      <c r="A45" s="11" t="s">
        <v>43</v>
      </c>
      <c r="B45" s="2" t="s">
        <v>23</v>
      </c>
      <c r="C45" s="1" t="s">
        <v>2</v>
      </c>
      <c r="D45" s="13">
        <f>SUMIFS(Dati!$F:$F,Dati!$S:$S,"Old*",Dati!$E:$E,$A45,Dati!$D:$D,$B$26)</f>
        <v>472000</v>
      </c>
      <c r="E45" s="13">
        <f>SUMIFS(Dati!$F:$F,Dati!$S:$S,"New+",Dati!$E:$E,$A45,Dati!$D:$D,$B$26)</f>
        <v>0</v>
      </c>
      <c r="F45" s="13">
        <f>SUMIFS(Dati!$F:$F,Dati!$S:$S,"New-",Dati!$E:$E,$A45,Dati!$D:$D,$B$26)</f>
        <v>0</v>
      </c>
      <c r="G45" s="13">
        <f>SUMIFS(Dati!G:G,Dati!D:D,$B$26,Dati!E:E,$A45)</f>
        <v>-380800</v>
      </c>
      <c r="H45" s="13">
        <f>SUMIFS(Dati!$O:$O,Dati!$S:$S,"new+",Dati!$E:$E,$A45,Dati!$D:$D,$B$26)</f>
        <v>0</v>
      </c>
      <c r="I45" s="13">
        <f>SUMIFS(Dati!$O:$O,Dati!$S:$S,"Old+",Dati!$E:$E,$A45,Dati!$D:$D,$B$26)</f>
        <v>-33106.849315068488</v>
      </c>
      <c r="J45" s="42">
        <f t="shared" si="6"/>
        <v>-33106.849315068488</v>
      </c>
      <c r="K45" s="22">
        <f t="shared" si="5"/>
        <v>58093.150684931512</v>
      </c>
    </row>
    <row r="46" spans="1:11" x14ac:dyDescent="0.25">
      <c r="A46" s="11" t="s">
        <v>41</v>
      </c>
      <c r="B46" s="2" t="s">
        <v>23</v>
      </c>
      <c r="C46" s="1" t="s">
        <v>3</v>
      </c>
      <c r="D46" s="13">
        <f>SUMIFS(Dati!$F:$F,Dati!$S:$S,"Old*",Dati!$E:$E,$A46,Dati!$D:$D,$B$26)</f>
        <v>42000</v>
      </c>
      <c r="E46" s="13">
        <f>SUMIFS(Dati!$F:$F,Dati!$S:$S,"New+",Dati!$E:$E,$A46,Dati!$D:$D,$B$26)</f>
        <v>0</v>
      </c>
      <c r="F46" s="13">
        <f>SUMIFS(Dati!$F:$F,Dati!$S:$S,"New-",Dati!$E:$E,$A46,Dati!$D:$D,$B$26)</f>
        <v>0</v>
      </c>
      <c r="G46" s="13">
        <f>SUMIFS(Dati!G:G,Dati!D:D,$B$26,Dati!E:E,$A46)</f>
        <v>-10500</v>
      </c>
      <c r="H46" s="13">
        <f>SUMIFS(Dati!$O:$O,Dati!$S:$S,"new+",Dati!$E:$E,$A46,Dati!$D:$D,$B$26)</f>
        <v>0</v>
      </c>
      <c r="I46" s="13">
        <f>SUMIFS(Dati!$O:$O,Dati!$S:$S,"Old+",Dati!$E:$E,$A46,Dati!$D:$D,$B$26)</f>
        <v>-4878.9041095890416</v>
      </c>
      <c r="J46" s="42">
        <f t="shared" si="6"/>
        <v>-4878.9041095890416</v>
      </c>
      <c r="K46" s="22">
        <f t="shared" si="5"/>
        <v>26621.095890410958</v>
      </c>
    </row>
    <row r="47" spans="1:11" x14ac:dyDescent="0.25">
      <c r="A47" s="11" t="s">
        <v>46</v>
      </c>
      <c r="B47" s="2" t="s">
        <v>23</v>
      </c>
      <c r="C47" s="1" t="s">
        <v>4</v>
      </c>
      <c r="D47" s="13">
        <f>SUMIFS(Dati!$F:$F,Dati!$S:$S,"Old*",Dati!$E:$E,$A47,Dati!$D:$D,$B$26)</f>
        <v>388000</v>
      </c>
      <c r="E47" s="13">
        <f>SUMIFS(Dati!$F:$F,Dati!$S:$S,"New+",Dati!$E:$E,$A47,Dati!$D:$D,$B$26)</f>
        <v>0</v>
      </c>
      <c r="F47" s="13">
        <f>SUMIFS(Dati!$F:$F,Dati!$S:$S,"New-",Dati!$E:$E,$A47,Dati!$D:$D,$B$26)</f>
        <v>0</v>
      </c>
      <c r="G47" s="13">
        <f>SUMIFS(Dati!G:G,Dati!D:D,$B$26,Dati!E:E,$A47)</f>
        <v>-232800</v>
      </c>
      <c r="H47" s="13">
        <f>SUMIFS(Dati!$O:$O,Dati!$S:$S,"new+",Dati!$E:$E,$A47,Dati!$D:$D,$B$26)</f>
        <v>0</v>
      </c>
      <c r="I47" s="13">
        <f>SUMIFS(Dati!$O:$O,Dati!$S:$S,"Old+",Dati!$E:$E,$A47,Dati!$D:$D,$B$26)</f>
        <v>-45071.780821917811</v>
      </c>
      <c r="J47" s="42">
        <f t="shared" si="6"/>
        <v>-45071.780821917811</v>
      </c>
      <c r="K47" s="22">
        <f t="shared" si="5"/>
        <v>110128.21917808219</v>
      </c>
    </row>
    <row r="48" spans="1:11" x14ac:dyDescent="0.25">
      <c r="A48" s="11" t="s">
        <v>50</v>
      </c>
      <c r="B48" s="2" t="s">
        <v>23</v>
      </c>
      <c r="C48" s="1" t="s">
        <v>6</v>
      </c>
      <c r="D48" s="13">
        <f>SUMIFS(Dati!$F:$F,Dati!$S:$S,"Old*",Dati!$E:$E,$A48,Dati!$D:$D,$B$26)</f>
        <v>0</v>
      </c>
      <c r="E48" s="13">
        <f>SUMIFS(Dati!$F:$F,Dati!$S:$S,"New+",Dati!$E:$E,$A48,Dati!$D:$D,$B$26)</f>
        <v>0</v>
      </c>
      <c r="F48" s="13">
        <f>SUMIFS(Dati!$F:$F,Dati!$S:$S,"New-",Dati!$E:$E,$A48,Dati!$D:$D,$B$26)</f>
        <v>0</v>
      </c>
      <c r="G48" s="13">
        <f>SUMIFS(Dati!G:G,Dati!D:D,$B$26,Dati!E:E,$A48)</f>
        <v>0</v>
      </c>
      <c r="H48" s="13">
        <f>SUMIFS(Dati!$O:$O,Dati!$S:$S,"new+",Dati!$E:$E,$A48,Dati!$D:$D,$B$26)</f>
        <v>0</v>
      </c>
      <c r="I48" s="13">
        <f>SUMIFS(Dati!$O:$O,Dati!$S:$S,"Old+",Dati!$E:$E,$A48,Dati!$D:$D,$B$26)</f>
        <v>0</v>
      </c>
      <c r="J48" s="42">
        <f t="shared" si="6"/>
        <v>0</v>
      </c>
      <c r="K48" s="22">
        <f t="shared" si="5"/>
        <v>0</v>
      </c>
    </row>
    <row r="49" spans="1:11" x14ac:dyDescent="0.25">
      <c r="C49" s="3" t="s">
        <v>7</v>
      </c>
      <c r="D49" s="37">
        <f t="shared" ref="D49:K49" si="7">SUM(D29:D48)</f>
        <v>3581000</v>
      </c>
      <c r="E49" s="37">
        <f t="shared" ref="E49:F49" si="8">SUM(E29:E48)</f>
        <v>0</v>
      </c>
      <c r="F49" s="37">
        <f t="shared" si="8"/>
        <v>0</v>
      </c>
      <c r="G49" s="37">
        <f t="shared" si="7"/>
        <v>-1836026.8</v>
      </c>
      <c r="H49" s="37">
        <f>SUM(H29:H48)</f>
        <v>0</v>
      </c>
      <c r="I49" s="37">
        <f>SUM(I29:I48)</f>
        <v>-267782.6016438356</v>
      </c>
      <c r="J49" s="43">
        <f>SUM(J29:J48)</f>
        <v>-267782.6016438356</v>
      </c>
      <c r="K49" s="37">
        <f t="shared" si="7"/>
        <v>1477190.5983561641</v>
      </c>
    </row>
    <row r="50" spans="1:11" x14ac:dyDescent="0.25">
      <c r="C50" s="3"/>
      <c r="D50" s="37"/>
      <c r="E50" s="37"/>
      <c r="F50" s="37"/>
      <c r="G50" s="37"/>
      <c r="H50" s="37"/>
      <c r="I50" s="37"/>
      <c r="J50" s="37"/>
      <c r="K50" s="37"/>
    </row>
    <row r="51" spans="1:11" x14ac:dyDescent="0.25">
      <c r="A51" s="3" t="s">
        <v>74</v>
      </c>
      <c r="B51" s="17" t="s">
        <v>81</v>
      </c>
    </row>
    <row r="53" spans="1:11" x14ac:dyDescent="0.25">
      <c r="A53" s="8" t="s">
        <v>80</v>
      </c>
      <c r="B53" s="3" t="s">
        <v>26</v>
      </c>
      <c r="C53" s="3" t="s">
        <v>28</v>
      </c>
      <c r="D53" s="3" t="s">
        <v>67</v>
      </c>
      <c r="E53" s="3" t="s">
        <v>69</v>
      </c>
      <c r="F53" s="3" t="s">
        <v>70</v>
      </c>
      <c r="G53" s="3" t="s">
        <v>71</v>
      </c>
      <c r="H53" s="3" t="s">
        <v>87</v>
      </c>
      <c r="I53" s="3" t="s">
        <v>88</v>
      </c>
      <c r="J53" s="41" t="s">
        <v>89</v>
      </c>
      <c r="K53" s="3" t="s">
        <v>68</v>
      </c>
    </row>
    <row r="54" spans="1:11" x14ac:dyDescent="0.25">
      <c r="A54" s="11" t="s">
        <v>49</v>
      </c>
      <c r="B54" s="2" t="s">
        <v>22</v>
      </c>
      <c r="C54" s="1" t="s">
        <v>8</v>
      </c>
      <c r="D54" s="13">
        <f>SUMIFS(Dati!$F:$F,Dati!$S:$S,"Old*",Dati!$E:$E,$A54,Dati!$D:$D,$B$51)</f>
        <v>0</v>
      </c>
      <c r="E54" s="13">
        <f>SUMIFS(Dati!$F:$F,Dati!$S:$S,"New+",Dati!$E:$E,$A54,Dati!$D:$D,$B$51)</f>
        <v>0</v>
      </c>
      <c r="F54" s="13">
        <f>SUMIFS(Dati!$F:$F,Dati!$S:$S,"New-",Dati!$E:$E,$A54,Dati!$D:$D,$B$51)</f>
        <v>0</v>
      </c>
      <c r="G54" s="13">
        <f>SUMIFS(Dati!G:G,Dati!D:D,$B$51,Dati!E:E,$A54)</f>
        <v>0</v>
      </c>
      <c r="H54" s="13">
        <f>SUMIFS(Dati!$O:$O,Dati!$S:$S,"new+",Dati!$E:$E,$A54,Dati!$D:$D,$B$51)</f>
        <v>0</v>
      </c>
      <c r="I54" s="13">
        <f>SUMIFS(Dati!$O:$O,Dati!$S:$S,"Old+",Dati!$E:$E,$A54,Dati!$D:$D,$B$51)</f>
        <v>0</v>
      </c>
      <c r="J54" s="42">
        <f>SUM(H54:I54)</f>
        <v>0</v>
      </c>
      <c r="K54" s="22">
        <f t="shared" ref="K54:K73" si="9">SUM(D54:I54)</f>
        <v>0</v>
      </c>
    </row>
    <row r="55" spans="1:11" x14ac:dyDescent="0.25">
      <c r="A55" s="11" t="s">
        <v>51</v>
      </c>
      <c r="B55" s="2" t="s">
        <v>22</v>
      </c>
      <c r="C55" s="1" t="s">
        <v>9</v>
      </c>
      <c r="D55" s="13">
        <f>SUMIFS(Dati!$F:$F,Dati!$S:$S,"Old*",Dati!$E:$E,$A55,Dati!$D:$D,$B$51)</f>
        <v>443000</v>
      </c>
      <c r="E55" s="13">
        <f>SUMIFS(Dati!$F:$F,Dati!$S:$S,"New+",Dati!$E:$E,$A55,Dati!$D:$D,$B$51)</f>
        <v>0</v>
      </c>
      <c r="F55" s="13">
        <f>SUMIFS(Dati!$F:$F,Dati!$S:$S,"New-",Dati!$E:$E,$A55,Dati!$D:$D,$B$51)</f>
        <v>0</v>
      </c>
      <c r="G55" s="13">
        <f>SUMIFS(Dati!G:G,Dati!D:D,$B$51,Dati!E:E,$A55)</f>
        <v>-30550</v>
      </c>
      <c r="H55" s="13">
        <f>SUMIFS(Dati!$O:$O,Dati!$S:$S,"new+",Dati!$E:$E,$A55,Dati!$D:$D,$B$51)</f>
        <v>0</v>
      </c>
      <c r="I55" s="13">
        <f>SUMIFS(Dati!$O:$O,Dati!$S:$S,"Old+",Dati!$E:$E,$A55,Dati!$D:$D,$B$51)</f>
        <v>-12865.205479452057</v>
      </c>
      <c r="J55" s="42">
        <f t="shared" ref="J55:J73" si="10">SUM(H55:I55)</f>
        <v>-12865.205479452057</v>
      </c>
      <c r="K55" s="22">
        <f t="shared" si="9"/>
        <v>399584.79452054796</v>
      </c>
    </row>
    <row r="56" spans="1:11" x14ac:dyDescent="0.25">
      <c r="A56" s="11" t="s">
        <v>79</v>
      </c>
      <c r="B56" s="2" t="s">
        <v>22</v>
      </c>
      <c r="C56" s="1" t="s">
        <v>11</v>
      </c>
      <c r="D56" s="13">
        <f>SUMIFS(Dati!$F:$F,Dati!$S:$S,"Old*",Dati!$E:$E,$A56,Dati!$D:$D,$B$51)</f>
        <v>325000</v>
      </c>
      <c r="E56" s="13">
        <f>SUMIFS(Dati!$F:$F,Dati!$S:$S,"New+",Dati!$E:$E,$A56,Dati!$D:$D,$B$51)</f>
        <v>0</v>
      </c>
      <c r="F56" s="13">
        <f>SUMIFS(Dati!$F:$F,Dati!$S:$S,"New-",Dati!$E:$E,$A56,Dati!$D:$D,$B$51)</f>
        <v>0</v>
      </c>
      <c r="G56" s="13">
        <f>SUMIFS(Dati!G:G,Dati!D:D,$B$51,Dati!E:E,$A56)</f>
        <v>-130000</v>
      </c>
      <c r="H56" s="13">
        <f>SUMIFS(Dati!$O:$O,Dati!$S:$S,"new+",Dati!$E:$E,$A56,Dati!$D:$D,$B$51)</f>
        <v>0</v>
      </c>
      <c r="I56" s="13">
        <f>SUMIFS(Dati!$O:$O,Dati!$S:$S,"Old+",Dati!$E:$E,$A56,Dati!$D:$D,$B$51)</f>
        <v>-12590.767123287671</v>
      </c>
      <c r="J56" s="42">
        <f t="shared" si="10"/>
        <v>-12590.767123287671</v>
      </c>
      <c r="K56" s="22">
        <f t="shared" si="9"/>
        <v>182409.23287671234</v>
      </c>
    </row>
    <row r="57" spans="1:11" x14ac:dyDescent="0.25">
      <c r="A57" s="11" t="s">
        <v>42</v>
      </c>
      <c r="B57" s="2" t="s">
        <v>22</v>
      </c>
      <c r="C57" s="1" t="s">
        <v>12</v>
      </c>
      <c r="D57" s="13">
        <f>SUMIFS(Dati!$F:$F,Dati!$S:$S,"Old*",Dati!$E:$E,$A57,Dati!$D:$D,$B$51)</f>
        <v>685000</v>
      </c>
      <c r="E57" s="13">
        <f>SUMIFS(Dati!$F:$F,Dati!$S:$S,"New+",Dati!$E:$E,$A57,Dati!$D:$D,$B$51)</f>
        <v>0</v>
      </c>
      <c r="F57" s="13">
        <f>SUMIFS(Dati!$F:$F,Dati!$S:$S,"New-",Dati!$E:$E,$A57,Dati!$D:$D,$B$51)</f>
        <v>0</v>
      </c>
      <c r="G57" s="13">
        <f>SUMIFS(Dati!G:G,Dati!D:D,$B$51,Dati!E:E,$A57)</f>
        <v>-179889.9</v>
      </c>
      <c r="H57" s="13">
        <f>SUMIFS(Dati!$O:$O,Dati!$S:$S,"new+",Dati!$E:$E,$A57,Dati!$D:$D,$B$51)</f>
        <v>0</v>
      </c>
      <c r="I57" s="13">
        <f>SUMIFS(Dati!$O:$O,Dati!$S:$S,"Old+",Dati!$E:$E,$A57,Dati!$D:$D,$B$51)</f>
        <v>-99465.753424657523</v>
      </c>
      <c r="J57" s="42">
        <f t="shared" si="10"/>
        <v>-99465.753424657523</v>
      </c>
      <c r="K57" s="22">
        <f t="shared" si="9"/>
        <v>405644.34657534247</v>
      </c>
    </row>
    <row r="58" spans="1:11" x14ac:dyDescent="0.25">
      <c r="A58" s="11" t="s">
        <v>40</v>
      </c>
      <c r="B58" s="2" t="s">
        <v>22</v>
      </c>
      <c r="C58" s="1" t="s">
        <v>13</v>
      </c>
      <c r="D58" s="13">
        <f>SUMIFS(Dati!$F:$F,Dati!$S:$S,"Old*",Dati!$E:$E,$A58,Dati!$D:$D,$B$51)</f>
        <v>135000</v>
      </c>
      <c r="E58" s="13">
        <f>SUMIFS(Dati!$F:$F,Dati!$S:$S,"New+",Dati!$E:$E,$A58,Dati!$D:$D,$B$51)</f>
        <v>0</v>
      </c>
      <c r="F58" s="13">
        <f>SUMIFS(Dati!$F:$F,Dati!$S:$S,"New-",Dati!$E:$E,$A58,Dati!$D:$D,$B$51)</f>
        <v>0</v>
      </c>
      <c r="G58" s="13">
        <f>SUMIFS(Dati!G:G,Dati!D:D,$B$51,Dati!E:E,$A58)</f>
        <v>-108000</v>
      </c>
      <c r="H58" s="13">
        <f>SUMIFS(Dati!$O:$O,Dati!$S:$S,"new+",Dati!$E:$E,$A58,Dati!$D:$D,$B$51)</f>
        <v>0</v>
      </c>
      <c r="I58" s="13">
        <f>SUMIFS(Dati!$O:$O,Dati!$S:$S,"Old+",Dati!$E:$E,$A58,Dati!$D:$D,$B$51)</f>
        <v>-6531.6328767123296</v>
      </c>
      <c r="J58" s="42">
        <f t="shared" si="10"/>
        <v>-6531.6328767123296</v>
      </c>
      <c r="K58" s="22">
        <f t="shared" si="9"/>
        <v>20468.36712328767</v>
      </c>
    </row>
    <row r="59" spans="1:11" x14ac:dyDescent="0.25">
      <c r="A59" s="11" t="s">
        <v>48</v>
      </c>
      <c r="B59" s="2" t="s">
        <v>22</v>
      </c>
      <c r="C59" s="1" t="s">
        <v>14</v>
      </c>
      <c r="D59" s="13">
        <f>SUMIFS(Dati!$F:$F,Dati!$S:$S,"Old*",Dati!$E:$E,$A59,Dati!$D:$D,$B$51)</f>
        <v>255000</v>
      </c>
      <c r="E59" s="13">
        <f>SUMIFS(Dati!$F:$F,Dati!$S:$S,"New+",Dati!$E:$E,$A59,Dati!$D:$D,$B$51)</f>
        <v>155000</v>
      </c>
      <c r="F59" s="13">
        <f>SUMIFS(Dati!$F:$F,Dati!$S:$S,"New-",Dati!$E:$E,$A59,Dati!$D:$D,$B$51)</f>
        <v>0</v>
      </c>
      <c r="G59" s="13">
        <f>SUMIFS(Dati!G:G,Dati!D:D,$B$51,Dati!E:E,$A59)</f>
        <v>-73304</v>
      </c>
      <c r="H59" s="13">
        <f>SUMIFS(Dati!$O:$O,Dati!$S:$S,"new+",Dati!$E:$E,$A59,Dati!$D:$D,$B$51)</f>
        <v>-3002.4136986301369</v>
      </c>
      <c r="I59" s="13">
        <f>SUMIFS(Dati!$O:$O,Dati!$S:$S,"Old+",Dati!$E:$E,$A59,Dati!$D:$D,$B$51)</f>
        <v>-9878.9095890410972</v>
      </c>
      <c r="J59" s="42">
        <f t="shared" si="10"/>
        <v>-12881.323287671234</v>
      </c>
      <c r="K59" s="22">
        <f t="shared" si="9"/>
        <v>323814.6767123288</v>
      </c>
    </row>
    <row r="60" spans="1:11" x14ac:dyDescent="0.25">
      <c r="A60" s="11" t="s">
        <v>78</v>
      </c>
      <c r="B60" s="2" t="s">
        <v>22</v>
      </c>
      <c r="C60" s="1" t="s">
        <v>15</v>
      </c>
      <c r="D60" s="13">
        <f>SUMIFS(Dati!$F:$F,Dati!$S:$S,"Old*",Dati!$E:$E,$A60,Dati!$D:$D,$B$51)</f>
        <v>0</v>
      </c>
      <c r="E60" s="13">
        <f>SUMIFS(Dati!$F:$F,Dati!$S:$S,"New+",Dati!$E:$E,$A60,Dati!$D:$D,$B$51)</f>
        <v>0</v>
      </c>
      <c r="F60" s="13">
        <f>SUMIFS(Dati!$F:$F,Dati!$S:$S,"New-",Dati!$E:$E,$A60,Dati!$D:$D,$B$51)</f>
        <v>0</v>
      </c>
      <c r="G60" s="13">
        <f>SUMIFS(Dati!G:G,Dati!D:D,$B$51,Dati!E:E,$A60)</f>
        <v>0</v>
      </c>
      <c r="H60" s="13">
        <f>SUMIFS(Dati!$O:$O,Dati!$S:$S,"new+",Dati!$E:$E,$A60,Dati!$D:$D,$B$51)</f>
        <v>0</v>
      </c>
      <c r="I60" s="13">
        <f>SUMIFS(Dati!$O:$O,Dati!$S:$S,"Old+",Dati!$E:$E,$A60,Dati!$D:$D,$B$51)</f>
        <v>0</v>
      </c>
      <c r="J60" s="42">
        <f t="shared" si="10"/>
        <v>0</v>
      </c>
      <c r="K60" s="22">
        <f t="shared" si="9"/>
        <v>0</v>
      </c>
    </row>
    <row r="61" spans="1:11" x14ac:dyDescent="0.25">
      <c r="A61" s="11" t="s">
        <v>45</v>
      </c>
      <c r="B61" s="2" t="s">
        <v>22</v>
      </c>
      <c r="C61" s="1" t="s">
        <v>16</v>
      </c>
      <c r="D61" s="13">
        <f>SUMIFS(Dati!$F:$F,Dati!$S:$S,"Old*",Dati!$E:$E,$A61,Dati!$D:$D,$B$51)</f>
        <v>256000</v>
      </c>
      <c r="E61" s="13">
        <f>SUMIFS(Dati!$F:$F,Dati!$S:$S,"New+",Dati!$E:$E,$A61,Dati!$D:$D,$B$51)</f>
        <v>0</v>
      </c>
      <c r="F61" s="13">
        <f>SUMIFS(Dati!$F:$F,Dati!$S:$S,"New-",Dati!$E:$E,$A61,Dati!$D:$D,$B$51)</f>
        <v>0</v>
      </c>
      <c r="G61" s="13">
        <f>SUMIFS(Dati!G:G,Dati!D:D,$B$51,Dati!E:E,$A61)</f>
        <v>-128025.60000000001</v>
      </c>
      <c r="H61" s="13">
        <f>SUMIFS(Dati!$O:$O,Dati!$S:$S,"new+",Dati!$E:$E,$A61,Dati!$D:$D,$B$51)</f>
        <v>0</v>
      </c>
      <c r="I61" s="13">
        <f>SUMIFS(Dati!$O:$O,Dati!$S:$S,"Old+",Dati!$E:$E,$A61,Dati!$D:$D,$B$51)</f>
        <v>-14869.041095890414</v>
      </c>
      <c r="J61" s="42">
        <f t="shared" si="10"/>
        <v>-14869.041095890414</v>
      </c>
      <c r="K61" s="22">
        <f t="shared" si="9"/>
        <v>113105.35890410958</v>
      </c>
    </row>
    <row r="62" spans="1:11" x14ac:dyDescent="0.25">
      <c r="A62" s="11" t="s">
        <v>53</v>
      </c>
      <c r="B62" s="2" t="s">
        <v>22</v>
      </c>
      <c r="C62" s="1" t="s">
        <v>17</v>
      </c>
      <c r="D62" s="13">
        <f>SUMIFS(Dati!$F:$F,Dati!$S:$S,"Old*",Dati!$E:$E,$A62,Dati!$D:$D,$B$51)</f>
        <v>292000</v>
      </c>
      <c r="E62" s="13">
        <f>SUMIFS(Dati!$F:$F,Dati!$S:$S,"New+",Dati!$E:$E,$A62,Dati!$D:$D,$B$51)</f>
        <v>0</v>
      </c>
      <c r="F62" s="13">
        <f>SUMIFS(Dati!$F:$F,Dati!$S:$S,"New-",Dati!$E:$E,$A62,Dati!$D:$D,$B$51)</f>
        <v>0</v>
      </c>
      <c r="G62" s="13">
        <f>SUMIFS(Dati!G:G,Dati!D:D,$B$51,Dati!E:E,$A62)</f>
        <v>-56000</v>
      </c>
      <c r="H62" s="13">
        <f>SUMIFS(Dati!$O:$O,Dati!$S:$S,"new+",Dati!$E:$E,$A62,Dati!$D:$D,$B$51)</f>
        <v>0</v>
      </c>
      <c r="I62" s="13">
        <f>SUMIFS(Dati!$O:$O,Dati!$S:$S,"Old+",Dati!$E:$E,$A62,Dati!$D:$D,$B$51)</f>
        <v>-14127.68</v>
      </c>
      <c r="J62" s="42">
        <f t="shared" si="10"/>
        <v>-14127.68</v>
      </c>
      <c r="K62" s="22">
        <f t="shared" si="9"/>
        <v>221872.32</v>
      </c>
    </row>
    <row r="63" spans="1:11" x14ac:dyDescent="0.25">
      <c r="A63" s="11" t="s">
        <v>38</v>
      </c>
      <c r="B63" s="2" t="s">
        <v>22</v>
      </c>
      <c r="C63" s="1" t="s">
        <v>18</v>
      </c>
      <c r="D63" s="13">
        <f>SUMIFS(Dati!$F:$F,Dati!$S:$S,"Old*",Dati!$E:$E,$A63,Dati!$D:$D,$B$51)</f>
        <v>0</v>
      </c>
      <c r="E63" s="13">
        <f>SUMIFS(Dati!$F:$F,Dati!$S:$S,"New+",Dati!$E:$E,$A63,Dati!$D:$D,$B$51)</f>
        <v>0</v>
      </c>
      <c r="F63" s="13">
        <f>SUMIFS(Dati!$F:$F,Dati!$S:$S,"New-",Dati!$E:$E,$A63,Dati!$D:$D,$B$51)</f>
        <v>0</v>
      </c>
      <c r="G63" s="13">
        <f>SUMIFS(Dati!G:G,Dati!D:D,$B$51,Dati!E:E,$A63)</f>
        <v>0</v>
      </c>
      <c r="H63" s="13">
        <f>SUMIFS(Dati!$O:$O,Dati!$S:$S,"new+",Dati!$E:$E,$A63,Dati!$D:$D,$B$51)</f>
        <v>0</v>
      </c>
      <c r="I63" s="13">
        <f>SUMIFS(Dati!$O:$O,Dati!$S:$S,"Old+",Dati!$E:$E,$A63,Dati!$D:$D,$B$51)</f>
        <v>0</v>
      </c>
      <c r="J63" s="42">
        <f t="shared" si="10"/>
        <v>0</v>
      </c>
      <c r="K63" s="22">
        <f t="shared" si="9"/>
        <v>0</v>
      </c>
    </row>
    <row r="64" spans="1:11" x14ac:dyDescent="0.25">
      <c r="A64" s="11" t="s">
        <v>52</v>
      </c>
      <c r="B64" s="2" t="s">
        <v>22</v>
      </c>
      <c r="C64" s="1" t="s">
        <v>19</v>
      </c>
      <c r="D64" s="13">
        <f>SUMIFS(Dati!$F:$F,Dati!$S:$S,"Old*",Dati!$E:$E,$A64,Dati!$D:$D,$B$51)</f>
        <v>96000</v>
      </c>
      <c r="E64" s="13">
        <f>SUMIFS(Dati!$F:$F,Dati!$S:$S,"New+",Dati!$E:$E,$A64,Dati!$D:$D,$B$51)</f>
        <v>0</v>
      </c>
      <c r="F64" s="13">
        <f>SUMIFS(Dati!$F:$F,Dati!$S:$S,"New-",Dati!$E:$E,$A64,Dati!$D:$D,$B$51)</f>
        <v>0</v>
      </c>
      <c r="G64" s="13">
        <f>SUMIFS(Dati!G:G,Dati!D:D,$B$51,Dati!E:E,$A64)</f>
        <v>-38400</v>
      </c>
      <c r="H64" s="13">
        <f>SUMIFS(Dati!$O:$O,Dati!$S:$S,"new+",Dati!$E:$E,$A64,Dati!$D:$D,$B$51)</f>
        <v>0</v>
      </c>
      <c r="I64" s="13">
        <f>SUMIFS(Dati!$O:$O,Dati!$S:$S,"Old+",Dati!$E:$E,$A64,Dati!$D:$D,$B$51)</f>
        <v>-3719.118904109589</v>
      </c>
      <c r="J64" s="42">
        <f t="shared" si="10"/>
        <v>-3719.118904109589</v>
      </c>
      <c r="K64" s="22">
        <f t="shared" si="9"/>
        <v>53880.881095890414</v>
      </c>
    </row>
    <row r="65" spans="1:11" x14ac:dyDescent="0.25">
      <c r="A65" s="11" t="s">
        <v>37</v>
      </c>
      <c r="B65" s="2" t="s">
        <v>22</v>
      </c>
      <c r="C65" s="1" t="s">
        <v>20</v>
      </c>
      <c r="D65" s="13">
        <f>SUMIFS(Dati!$F:$F,Dati!$S:$S,"Old*",Dati!$E:$E,$A65,Dati!$D:$D,$B$51)</f>
        <v>64000</v>
      </c>
      <c r="E65" s="13">
        <f>SUMIFS(Dati!$F:$F,Dati!$S:$S,"New+",Dati!$E:$E,$A65,Dati!$D:$D,$B$51)</f>
        <v>0</v>
      </c>
      <c r="F65" s="13">
        <f>SUMIFS(Dati!$F:$F,Dati!$S:$S,"New-",Dati!$E:$E,$A65,Dati!$D:$D,$B$51)</f>
        <v>0</v>
      </c>
      <c r="G65" s="13">
        <f>SUMIFS(Dati!G:G,Dati!D:D,$B$51,Dati!E:E,$A65)</f>
        <v>-21344</v>
      </c>
      <c r="H65" s="13">
        <f>SUMIFS(Dati!$O:$O,Dati!$S:$S,"new+",Dati!$E:$E,$A65,Dati!$D:$D,$B$51)</f>
        <v>0</v>
      </c>
      <c r="I65" s="13">
        <f>SUMIFS(Dati!$O:$O,Dati!$S:$S,"Old+",Dati!$E:$E,$A65,Dati!$D:$D,$B$51)</f>
        <v>-1858.6301369863017</v>
      </c>
      <c r="J65" s="42">
        <f t="shared" si="10"/>
        <v>-1858.6301369863017</v>
      </c>
      <c r="K65" s="22">
        <f t="shared" si="9"/>
        <v>40797.369863013701</v>
      </c>
    </row>
    <row r="66" spans="1:11" x14ac:dyDescent="0.25">
      <c r="A66" s="11" t="s">
        <v>39</v>
      </c>
      <c r="B66" s="2" t="s">
        <v>22</v>
      </c>
      <c r="C66" s="1" t="s">
        <v>21</v>
      </c>
      <c r="D66" s="13">
        <f>SUMIFS(Dati!$F:$F,Dati!$S:$S,"Old*",Dati!$E:$E,$A66,Dati!$D:$D,$B$51)</f>
        <v>670000</v>
      </c>
      <c r="E66" s="13">
        <f>SUMIFS(Dati!$F:$F,Dati!$S:$S,"New+",Dati!$E:$E,$A66,Dati!$D:$D,$B$51)</f>
        <v>0</v>
      </c>
      <c r="F66" s="13">
        <f>SUMIFS(Dati!$F:$F,Dati!$S:$S,"New-",Dati!$E:$E,$A66,Dati!$D:$D,$B$51)</f>
        <v>0</v>
      </c>
      <c r="G66" s="13">
        <f>SUMIFS(Dati!G:G,Dati!D:D,$B$51,Dati!E:E,$A66)</f>
        <v>-129950</v>
      </c>
      <c r="H66" s="13">
        <f>SUMIFS(Dati!$O:$O,Dati!$S:$S,"new+",Dati!$E:$E,$A66,Dati!$D:$D,$B$51)</f>
        <v>0</v>
      </c>
      <c r="I66" s="13">
        <f>SUMIFS(Dati!$O:$O,Dati!$S:$S,"Old+",Dati!$E:$E,$A66,Dati!$D:$D,$B$51)</f>
        <v>-48643.835616438351</v>
      </c>
      <c r="J66" s="42">
        <f t="shared" si="10"/>
        <v>-48643.835616438351</v>
      </c>
      <c r="K66" s="22">
        <f t="shared" si="9"/>
        <v>491406.16438356164</v>
      </c>
    </row>
    <row r="67" spans="1:11" x14ac:dyDescent="0.25">
      <c r="A67" s="11" t="s">
        <v>47</v>
      </c>
      <c r="B67" s="2" t="s">
        <v>22</v>
      </c>
      <c r="C67" s="1" t="s">
        <v>5</v>
      </c>
      <c r="D67" s="13">
        <f>SUMIFS(Dati!$F:$F,Dati!$S:$S,"Old*",Dati!$E:$E,$A67,Dati!$D:$D,$B$51)</f>
        <v>0</v>
      </c>
      <c r="E67" s="13">
        <f>SUMIFS(Dati!$F:$F,Dati!$S:$S,"New+",Dati!$E:$E,$A67,Dati!$D:$D,$B$51)</f>
        <v>0</v>
      </c>
      <c r="F67" s="13">
        <f>SUMIFS(Dati!$F:$F,Dati!$S:$S,"New-",Dati!$E:$E,$A67,Dati!$D:$D,$B$51)</f>
        <v>0</v>
      </c>
      <c r="G67" s="13">
        <f>SUMIFS(Dati!G:G,Dati!D:D,$B$51,Dati!E:E,$A67)</f>
        <v>0</v>
      </c>
      <c r="H67" s="13">
        <f>SUMIFS(Dati!$O:$O,Dati!$S:$S,"new+",Dati!$E:$E,$A67,Dati!$D:$D,$B$51)</f>
        <v>0</v>
      </c>
      <c r="I67" s="13">
        <f>SUMIFS(Dati!$O:$O,Dati!$S:$S,"Old+",Dati!$E:$E,$A67,Dati!$D:$D,$B$51)</f>
        <v>0</v>
      </c>
      <c r="J67" s="42">
        <f t="shared" si="10"/>
        <v>0</v>
      </c>
      <c r="K67" s="22">
        <f t="shared" si="9"/>
        <v>0</v>
      </c>
    </row>
    <row r="68" spans="1:11" x14ac:dyDescent="0.25">
      <c r="A68" s="11" t="s">
        <v>44</v>
      </c>
      <c r="B68" s="2" t="s">
        <v>23</v>
      </c>
      <c r="C68" s="1" t="s">
        <v>0</v>
      </c>
      <c r="D68" s="13">
        <f>SUMIFS(Dati!$F:$F,Dati!$S:$S,"Old*",Dati!$E:$E,$A68,Dati!$D:$D,$B$51)</f>
        <v>0</v>
      </c>
      <c r="E68" s="13">
        <f>SUMIFS(Dati!$F:$F,Dati!$S:$S,"New+",Dati!$E:$E,$A68,Dati!$D:$D,$B$51)</f>
        <v>0</v>
      </c>
      <c r="F68" s="13">
        <f>SUMIFS(Dati!$F:$F,Dati!$S:$S,"New-",Dati!$E:$E,$A68,Dati!$D:$D,$B$51)</f>
        <v>0</v>
      </c>
      <c r="G68" s="13">
        <f>SUMIFS(Dati!G:G,Dati!D:D,$B$51,Dati!E:E,$A68)</f>
        <v>0</v>
      </c>
      <c r="H68" s="13">
        <f>SUMIFS(Dati!$O:$O,Dati!$S:$S,"new+",Dati!$E:$E,$A68,Dati!$D:$D,$B$51)</f>
        <v>0</v>
      </c>
      <c r="I68" s="13">
        <f>SUMIFS(Dati!$O:$O,Dati!$S:$S,"Old+",Dati!$E:$E,$A68,Dati!$D:$D,$B$51)</f>
        <v>0</v>
      </c>
      <c r="J68" s="42">
        <f t="shared" si="10"/>
        <v>0</v>
      </c>
      <c r="K68" s="22">
        <f t="shared" si="9"/>
        <v>0</v>
      </c>
    </row>
    <row r="69" spans="1:11" x14ac:dyDescent="0.25">
      <c r="A69" s="11" t="s">
        <v>36</v>
      </c>
      <c r="B69" s="2" t="s">
        <v>23</v>
      </c>
      <c r="C69" s="1" t="s">
        <v>1</v>
      </c>
      <c r="D69" s="13">
        <f>SUMIFS(Dati!$F:$F,Dati!$S:$S,"Old*",Dati!$E:$E,$A69,Dati!$D:$D,$B$51)</f>
        <v>321000</v>
      </c>
      <c r="E69" s="13">
        <f>SUMIFS(Dati!$F:$F,Dati!$S:$S,"New+",Dati!$E:$E,$A69,Dati!$D:$D,$B$51)</f>
        <v>0</v>
      </c>
      <c r="F69" s="13">
        <f>SUMIFS(Dati!$F:$F,Dati!$S:$S,"New-",Dati!$E:$E,$A69,Dati!$D:$D,$B$51)</f>
        <v>0</v>
      </c>
      <c r="G69" s="13">
        <f>SUMIFS(Dati!G:G,Dati!D:D,$B$51,Dati!E:E,$A69)</f>
        <v>-233000</v>
      </c>
      <c r="H69" s="13">
        <f>SUMIFS(Dati!$O:$O,Dati!$S:$S,"new+",Dati!$E:$E,$A69,Dati!$D:$D,$B$51)</f>
        <v>0</v>
      </c>
      <c r="I69" s="13">
        <f>SUMIFS(Dati!$O:$O,Dati!$S:$S,"Old+",Dati!$E:$E,$A69,Dati!$D:$D,$B$51)</f>
        <v>-37288.767123287675</v>
      </c>
      <c r="J69" s="42">
        <f t="shared" si="10"/>
        <v>-37288.767123287675</v>
      </c>
      <c r="K69" s="22">
        <f t="shared" si="9"/>
        <v>50711.232876712325</v>
      </c>
    </row>
    <row r="70" spans="1:11" x14ac:dyDescent="0.25">
      <c r="A70" s="11" t="s">
        <v>43</v>
      </c>
      <c r="B70" s="2" t="s">
        <v>23</v>
      </c>
      <c r="C70" s="1" t="s">
        <v>2</v>
      </c>
      <c r="D70" s="13">
        <f>SUMIFS(Dati!$F:$F,Dati!$S:$S,"Old*",Dati!$E:$E,$A70,Dati!$D:$D,$B$51)</f>
        <v>0</v>
      </c>
      <c r="E70" s="13">
        <f>SUMIFS(Dati!$F:$F,Dati!$S:$S,"New+",Dati!$E:$E,$A70,Dati!$D:$D,$B$51)</f>
        <v>0</v>
      </c>
      <c r="F70" s="13">
        <f>SUMIFS(Dati!$F:$F,Dati!$S:$S,"New-",Dati!$E:$E,$A70,Dati!$D:$D,$B$51)</f>
        <v>0</v>
      </c>
      <c r="G70" s="13">
        <f>SUMIFS(Dati!G:G,Dati!D:D,$B$51,Dati!E:E,$A70)</f>
        <v>0</v>
      </c>
      <c r="H70" s="13">
        <f>SUMIFS(Dati!$O:$O,Dati!$S:$S,"new+",Dati!$E:$E,$A70,Dati!$D:$D,$B$51)</f>
        <v>0</v>
      </c>
      <c r="I70" s="13">
        <f>SUMIFS(Dati!$O:$O,Dati!$S:$S,"Old+",Dati!$E:$E,$A70,Dati!$D:$D,$B$51)</f>
        <v>0</v>
      </c>
      <c r="J70" s="42">
        <f t="shared" si="10"/>
        <v>0</v>
      </c>
      <c r="K70" s="22">
        <f t="shared" si="9"/>
        <v>0</v>
      </c>
    </row>
    <row r="71" spans="1:11" x14ac:dyDescent="0.25">
      <c r="A71" s="11" t="s">
        <v>41</v>
      </c>
      <c r="B71" s="2" t="s">
        <v>23</v>
      </c>
      <c r="C71" s="1" t="s">
        <v>3</v>
      </c>
      <c r="D71" s="13">
        <f>SUMIFS(Dati!$F:$F,Dati!$S:$S,"Old*",Dati!$E:$E,$A71,Dati!$D:$D,$B$51)</f>
        <v>0</v>
      </c>
      <c r="E71" s="13">
        <f>SUMIFS(Dati!$F:$F,Dati!$S:$S,"New+",Dati!$E:$E,$A71,Dati!$D:$D,$B$51)</f>
        <v>0</v>
      </c>
      <c r="F71" s="13">
        <f>SUMIFS(Dati!$F:$F,Dati!$S:$S,"New-",Dati!$E:$E,$A71,Dati!$D:$D,$B$51)</f>
        <v>0</v>
      </c>
      <c r="G71" s="13">
        <f>SUMIFS(Dati!G:G,Dati!D:D,$B$51,Dati!E:E,$A71)</f>
        <v>0</v>
      </c>
      <c r="H71" s="13">
        <f>SUMIFS(Dati!$O:$O,Dati!$S:$S,"new+",Dati!$E:$E,$A71,Dati!$D:$D,$B$51)</f>
        <v>0</v>
      </c>
      <c r="I71" s="13">
        <f>SUMIFS(Dati!$O:$O,Dati!$S:$S,"Old+",Dati!$E:$E,$A71,Dati!$D:$D,$B$51)</f>
        <v>0</v>
      </c>
      <c r="J71" s="42">
        <f t="shared" si="10"/>
        <v>0</v>
      </c>
      <c r="K71" s="22">
        <f t="shared" si="9"/>
        <v>0</v>
      </c>
    </row>
    <row r="72" spans="1:11" x14ac:dyDescent="0.25">
      <c r="A72" s="11" t="s">
        <v>46</v>
      </c>
      <c r="B72" s="2" t="s">
        <v>23</v>
      </c>
      <c r="C72" s="1" t="s">
        <v>4</v>
      </c>
      <c r="D72" s="13">
        <f>SUMIFS(Dati!$F:$F,Dati!$S:$S,"Old*",Dati!$E:$E,$A72,Dati!$D:$D,$B$51)</f>
        <v>199000</v>
      </c>
      <c r="E72" s="13">
        <f>SUMIFS(Dati!$F:$F,Dati!$S:$S,"New+",Dati!$E:$E,$A72,Dati!$D:$D,$B$51)</f>
        <v>0</v>
      </c>
      <c r="F72" s="13">
        <f>SUMIFS(Dati!$F:$F,Dati!$S:$S,"New-",Dati!$E:$E,$A72,Dati!$D:$D,$B$51)</f>
        <v>0</v>
      </c>
      <c r="G72" s="13">
        <f>SUMIFS(Dati!G:G,Dati!D:D,$B$51,Dati!E:E,$A72)</f>
        <v>-119400</v>
      </c>
      <c r="H72" s="13">
        <f>SUMIFS(Dati!$O:$O,Dati!$S:$S,"new+",Dati!$E:$E,$A72,Dati!$D:$D,$B$51)</f>
        <v>0</v>
      </c>
      <c r="I72" s="13">
        <f>SUMIFS(Dati!$O:$O,Dati!$S:$S,"Old+",Dati!$E:$E,$A72,Dati!$D:$D,$B$51)</f>
        <v>-23116.712328767127</v>
      </c>
      <c r="J72" s="42">
        <f t="shared" si="10"/>
        <v>-23116.712328767127</v>
      </c>
      <c r="K72" s="22">
        <f t="shared" si="9"/>
        <v>56483.287671232873</v>
      </c>
    </row>
    <row r="73" spans="1:11" x14ac:dyDescent="0.25">
      <c r="A73" s="11" t="s">
        <v>50</v>
      </c>
      <c r="B73" s="2" t="s">
        <v>23</v>
      </c>
      <c r="C73" s="1" t="s">
        <v>6</v>
      </c>
      <c r="D73" s="13">
        <f>SUMIFS(Dati!$F:$F,Dati!$S:$S,"Old*",Dati!$E:$E,$A73,Dati!$D:$D,$B$51)</f>
        <v>627000</v>
      </c>
      <c r="E73" s="13">
        <f>SUMIFS(Dati!$F:$F,Dati!$S:$S,"New+",Dati!$E:$E,$A73,Dati!$D:$D,$B$51)</f>
        <v>0</v>
      </c>
      <c r="F73" s="13">
        <f>SUMIFS(Dati!$F:$F,Dati!$S:$S,"New-",Dati!$E:$E,$A73,Dati!$D:$D,$B$51)</f>
        <v>0</v>
      </c>
      <c r="G73" s="13">
        <f>SUMIFS(Dati!G:G,Dati!D:D,$B$51,Dati!E:E,$A73)</f>
        <v>-248200</v>
      </c>
      <c r="H73" s="13">
        <f>SUMIFS(Dati!$O:$O,Dati!$S:$S,"new+",Dati!$E:$E,$A73,Dati!$D:$D,$B$51)</f>
        <v>0</v>
      </c>
      <c r="I73" s="13">
        <f>SUMIFS(Dati!$O:$O,Dati!$S:$S,"Old+",Dati!$E:$E,$A73,Dati!$D:$D,$B$51)</f>
        <v>-72835.068493150698</v>
      </c>
      <c r="J73" s="42">
        <f t="shared" si="10"/>
        <v>-72835.068493150698</v>
      </c>
      <c r="K73" s="22">
        <f t="shared" si="9"/>
        <v>305964.9315068493</v>
      </c>
    </row>
    <row r="74" spans="1:11" x14ac:dyDescent="0.25">
      <c r="C74" s="3" t="s">
        <v>7</v>
      </c>
      <c r="D74" s="37">
        <f t="shared" ref="D74:K74" si="11">SUM(D54:D73)</f>
        <v>4368000</v>
      </c>
      <c r="E74" s="37">
        <f t="shared" ref="E74:F74" si="12">SUM(E54:E73)</f>
        <v>155000</v>
      </c>
      <c r="F74" s="37">
        <f t="shared" si="12"/>
        <v>0</v>
      </c>
      <c r="G74" s="37">
        <f t="shared" si="11"/>
        <v>-1496063.5</v>
      </c>
      <c r="H74" s="37">
        <f>SUM(H54:H73)</f>
        <v>-3002.4136986301369</v>
      </c>
      <c r="I74" s="37">
        <f>SUM(I54:I73)</f>
        <v>-357791.12219178077</v>
      </c>
      <c r="J74" s="43">
        <f>SUM(J54:J73)</f>
        <v>-360793.53589041095</v>
      </c>
      <c r="K74" s="37">
        <f t="shared" si="11"/>
        <v>2666142.9641095898</v>
      </c>
    </row>
    <row r="75" spans="1:11" x14ac:dyDescent="0.25">
      <c r="C75" s="3"/>
      <c r="D75" s="37"/>
      <c r="E75" s="37"/>
      <c r="F75" s="37"/>
      <c r="G75" s="37"/>
      <c r="H75" s="37"/>
      <c r="I75" s="37"/>
      <c r="J75" s="37"/>
      <c r="K75" s="37"/>
    </row>
    <row r="76" spans="1:11" x14ac:dyDescent="0.25">
      <c r="A76" s="3" t="s">
        <v>84</v>
      </c>
      <c r="C76" s="3"/>
      <c r="D76" s="37"/>
      <c r="E76" s="37"/>
      <c r="F76" s="37"/>
      <c r="G76" s="37"/>
      <c r="H76" s="37"/>
      <c r="I76" s="37"/>
      <c r="J76" s="37"/>
      <c r="K76" s="37"/>
    </row>
    <row r="77" spans="1:11" x14ac:dyDescent="0.25">
      <c r="A77" s="8" t="s">
        <v>80</v>
      </c>
      <c r="B77" s="3" t="s">
        <v>26</v>
      </c>
      <c r="C77" s="3" t="s">
        <v>28</v>
      </c>
      <c r="D77" s="3" t="s">
        <v>67</v>
      </c>
      <c r="E77" s="3" t="s">
        <v>69</v>
      </c>
      <c r="F77" s="3" t="s">
        <v>70</v>
      </c>
      <c r="G77" s="3" t="s">
        <v>71</v>
      </c>
      <c r="H77" s="3" t="s">
        <v>87</v>
      </c>
      <c r="I77" s="3" t="s">
        <v>88</v>
      </c>
      <c r="J77" s="41" t="s">
        <v>89</v>
      </c>
      <c r="K77" s="3" t="s">
        <v>68</v>
      </c>
    </row>
    <row r="78" spans="1:11" x14ac:dyDescent="0.25">
      <c r="A78" s="11" t="s">
        <v>49</v>
      </c>
      <c r="B78" s="2" t="s">
        <v>22</v>
      </c>
      <c r="C78" s="1" t="s">
        <v>8</v>
      </c>
      <c r="D78" s="13">
        <f t="shared" ref="D78:K93" si="13">+D4+D29+D54</f>
        <v>560000</v>
      </c>
      <c r="E78" s="13">
        <f t="shared" si="13"/>
        <v>141000</v>
      </c>
      <c r="F78" s="13">
        <f t="shared" ref="F78" si="14">+F4+F29+F54</f>
        <v>0</v>
      </c>
      <c r="G78" s="13">
        <f t="shared" si="13"/>
        <v>-33425</v>
      </c>
      <c r="H78" s="13">
        <f t="shared" si="13"/>
        <v>-1023.6986301369865</v>
      </c>
      <c r="I78" s="13">
        <f t="shared" si="13"/>
        <v>-8131.5068493150702</v>
      </c>
      <c r="J78" s="42">
        <f t="shared" si="13"/>
        <v>-9155.2054794520554</v>
      </c>
      <c r="K78" s="13">
        <f t="shared" si="13"/>
        <v>658419.79452054796</v>
      </c>
    </row>
    <row r="79" spans="1:11" x14ac:dyDescent="0.25">
      <c r="A79" s="11" t="s">
        <v>51</v>
      </c>
      <c r="B79" s="2" t="s">
        <v>22</v>
      </c>
      <c r="C79" s="1" t="s">
        <v>9</v>
      </c>
      <c r="D79" s="13">
        <f t="shared" si="13"/>
        <v>443000</v>
      </c>
      <c r="E79" s="13">
        <f t="shared" si="13"/>
        <v>0</v>
      </c>
      <c r="F79" s="13">
        <f t="shared" ref="F79" si="15">+F5+F30+F55</f>
        <v>0</v>
      </c>
      <c r="G79" s="13">
        <f t="shared" si="13"/>
        <v>-30550</v>
      </c>
      <c r="H79" s="13">
        <f t="shared" si="13"/>
        <v>0</v>
      </c>
      <c r="I79" s="13">
        <f t="shared" si="13"/>
        <v>-12865.205479452057</v>
      </c>
      <c r="J79" s="42">
        <f t="shared" si="13"/>
        <v>-12865.205479452057</v>
      </c>
      <c r="K79" s="13">
        <f t="shared" si="13"/>
        <v>399584.79452054796</v>
      </c>
    </row>
    <row r="80" spans="1:11" x14ac:dyDescent="0.25">
      <c r="A80" s="11" t="s">
        <v>79</v>
      </c>
      <c r="B80" s="2" t="s">
        <v>22</v>
      </c>
      <c r="C80" s="1" t="s">
        <v>11</v>
      </c>
      <c r="D80" s="13">
        <f t="shared" si="13"/>
        <v>716000</v>
      </c>
      <c r="E80" s="13">
        <f t="shared" si="13"/>
        <v>0</v>
      </c>
      <c r="F80" s="13">
        <f t="shared" ref="F80" si="16">+F6+F31+F56</f>
        <v>0</v>
      </c>
      <c r="G80" s="13">
        <f t="shared" si="13"/>
        <v>-221800</v>
      </c>
      <c r="H80" s="13">
        <f t="shared" si="13"/>
        <v>0</v>
      </c>
      <c r="I80" s="13">
        <f t="shared" si="13"/>
        <v>-27738.428493150685</v>
      </c>
      <c r="J80" s="42">
        <f t="shared" si="13"/>
        <v>-27738.428493150685</v>
      </c>
      <c r="K80" s="13">
        <f t="shared" si="13"/>
        <v>466461.57150684932</v>
      </c>
    </row>
    <row r="81" spans="1:11" x14ac:dyDescent="0.25">
      <c r="A81" s="11" t="s">
        <v>42</v>
      </c>
      <c r="B81" s="2" t="s">
        <v>22</v>
      </c>
      <c r="C81" s="1" t="s">
        <v>12</v>
      </c>
      <c r="D81" s="13">
        <f t="shared" si="13"/>
        <v>685000</v>
      </c>
      <c r="E81" s="13">
        <f t="shared" si="13"/>
        <v>0</v>
      </c>
      <c r="F81" s="13">
        <f t="shared" ref="F81" si="17">+F7+F32+F57</f>
        <v>0</v>
      </c>
      <c r="G81" s="13">
        <f t="shared" si="13"/>
        <v>-179889.9</v>
      </c>
      <c r="H81" s="13">
        <f t="shared" si="13"/>
        <v>0</v>
      </c>
      <c r="I81" s="13">
        <f t="shared" si="13"/>
        <v>-99465.753424657523</v>
      </c>
      <c r="J81" s="42">
        <f t="shared" si="13"/>
        <v>-99465.753424657523</v>
      </c>
      <c r="K81" s="13">
        <f t="shared" si="13"/>
        <v>405644.34657534247</v>
      </c>
    </row>
    <row r="82" spans="1:11" x14ac:dyDescent="0.25">
      <c r="A82" s="11" t="s">
        <v>40</v>
      </c>
      <c r="B82" s="2" t="s">
        <v>22</v>
      </c>
      <c r="C82" s="1" t="s">
        <v>13</v>
      </c>
      <c r="D82" s="13">
        <f t="shared" si="13"/>
        <v>380000</v>
      </c>
      <c r="E82" s="13">
        <f t="shared" si="13"/>
        <v>145000</v>
      </c>
      <c r="F82" s="13">
        <f t="shared" ref="F82" si="18">+F8+F33+F58</f>
        <v>0</v>
      </c>
      <c r="G82" s="13">
        <f t="shared" si="13"/>
        <v>-353000</v>
      </c>
      <c r="H82" s="13">
        <f t="shared" si="13"/>
        <v>-3507.728767123288</v>
      </c>
      <c r="I82" s="13">
        <f t="shared" si="13"/>
        <v>-6531.6328767123296</v>
      </c>
      <c r="J82" s="42">
        <f t="shared" si="13"/>
        <v>-10039.361643835618</v>
      </c>
      <c r="K82" s="13">
        <f t="shared" si="13"/>
        <v>161960.63835616439</v>
      </c>
    </row>
    <row r="83" spans="1:11" x14ac:dyDescent="0.25">
      <c r="A83" s="11" t="s">
        <v>48</v>
      </c>
      <c r="B83" s="2" t="s">
        <v>22</v>
      </c>
      <c r="C83" s="1" t="s">
        <v>14</v>
      </c>
      <c r="D83" s="13">
        <f t="shared" si="13"/>
        <v>1849000</v>
      </c>
      <c r="E83" s="13">
        <f t="shared" si="13"/>
        <v>155000</v>
      </c>
      <c r="F83" s="13">
        <f t="shared" ref="F83" si="19">+F9+F34+F59</f>
        <v>-26000</v>
      </c>
      <c r="G83" s="13">
        <f t="shared" si="13"/>
        <v>-370518.4</v>
      </c>
      <c r="H83" s="13">
        <f t="shared" si="13"/>
        <v>-3002.4136986301369</v>
      </c>
      <c r="I83" s="13">
        <f t="shared" si="13"/>
        <v>-71194.153424657532</v>
      </c>
      <c r="J83" s="42">
        <f t="shared" si="13"/>
        <v>-74196.567123287678</v>
      </c>
      <c r="K83" s="13">
        <f t="shared" si="13"/>
        <v>1533285.0328767123</v>
      </c>
    </row>
    <row r="84" spans="1:11" x14ac:dyDescent="0.25">
      <c r="A84" s="11" t="s">
        <v>78</v>
      </c>
      <c r="B84" s="2" t="s">
        <v>22</v>
      </c>
      <c r="C84" s="1" t="s">
        <v>15</v>
      </c>
      <c r="D84" s="13">
        <f t="shared" si="13"/>
        <v>720000</v>
      </c>
      <c r="E84" s="13">
        <f t="shared" si="13"/>
        <v>0</v>
      </c>
      <c r="F84" s="13">
        <f t="shared" ref="F84" si="20">+F10+F35+F60</f>
        <v>0</v>
      </c>
      <c r="G84" s="13">
        <f t="shared" si="13"/>
        <v>-242132.7</v>
      </c>
      <c r="H84" s="13">
        <f t="shared" si="13"/>
        <v>0</v>
      </c>
      <c r="I84" s="13">
        <f t="shared" si="13"/>
        <v>-69712.56986301369</v>
      </c>
      <c r="J84" s="42">
        <f t="shared" si="13"/>
        <v>-69712.56986301369</v>
      </c>
      <c r="K84" s="13">
        <f t="shared" si="13"/>
        <v>408154.73013698636</v>
      </c>
    </row>
    <row r="85" spans="1:11" x14ac:dyDescent="0.25">
      <c r="A85" s="11" t="s">
        <v>45</v>
      </c>
      <c r="B85" s="2" t="s">
        <v>22</v>
      </c>
      <c r="C85" s="1" t="s">
        <v>16</v>
      </c>
      <c r="D85" s="13">
        <f t="shared" si="13"/>
        <v>641000</v>
      </c>
      <c r="E85" s="13">
        <f t="shared" si="13"/>
        <v>0</v>
      </c>
      <c r="F85" s="13">
        <f t="shared" ref="F85" si="21">+F11+F36+F61</f>
        <v>0</v>
      </c>
      <c r="G85" s="13">
        <f t="shared" si="13"/>
        <v>-313062.59999999998</v>
      </c>
      <c r="H85" s="13">
        <f t="shared" si="13"/>
        <v>0</v>
      </c>
      <c r="I85" s="13">
        <f t="shared" si="13"/>
        <v>-37230.684931506854</v>
      </c>
      <c r="J85" s="42">
        <f t="shared" si="13"/>
        <v>-37230.684931506854</v>
      </c>
      <c r="K85" s="13">
        <f t="shared" si="13"/>
        <v>290706.71506849315</v>
      </c>
    </row>
    <row r="86" spans="1:11" x14ac:dyDescent="0.25">
      <c r="A86" s="11" t="s">
        <v>53</v>
      </c>
      <c r="B86" s="2" t="s">
        <v>22</v>
      </c>
      <c r="C86" s="1" t="s">
        <v>17</v>
      </c>
      <c r="D86" s="13">
        <f t="shared" si="13"/>
        <v>292000</v>
      </c>
      <c r="E86" s="13">
        <f t="shared" si="13"/>
        <v>21000</v>
      </c>
      <c r="F86" s="13">
        <f t="shared" ref="F86" si="22">+F12+F37+F62</f>
        <v>0</v>
      </c>
      <c r="G86" s="13">
        <f t="shared" si="13"/>
        <v>-56000</v>
      </c>
      <c r="H86" s="13">
        <f t="shared" si="13"/>
        <v>-508.01589041095895</v>
      </c>
      <c r="I86" s="13">
        <f t="shared" si="13"/>
        <v>-14127.68</v>
      </c>
      <c r="J86" s="42">
        <f t="shared" si="13"/>
        <v>-14635.69589041096</v>
      </c>
      <c r="K86" s="13">
        <f t="shared" si="13"/>
        <v>242364.30410958905</v>
      </c>
    </row>
    <row r="87" spans="1:11" x14ac:dyDescent="0.25">
      <c r="A87" s="11" t="s">
        <v>38</v>
      </c>
      <c r="B87" s="2" t="s">
        <v>22</v>
      </c>
      <c r="C87" s="1" t="s">
        <v>18</v>
      </c>
      <c r="D87" s="13">
        <f t="shared" si="13"/>
        <v>800000</v>
      </c>
      <c r="E87" s="13">
        <f t="shared" si="13"/>
        <v>0</v>
      </c>
      <c r="F87" s="13">
        <f t="shared" ref="F87" si="23">+F13+F38+F63</f>
        <v>0</v>
      </c>
      <c r="G87" s="13">
        <f t="shared" si="13"/>
        <v>-153855.1</v>
      </c>
      <c r="H87" s="13">
        <f t="shared" si="13"/>
        <v>0</v>
      </c>
      <c r="I87" s="13">
        <f t="shared" si="13"/>
        <v>-92931.506849315076</v>
      </c>
      <c r="J87" s="42">
        <f t="shared" si="13"/>
        <v>-92931.506849315076</v>
      </c>
      <c r="K87" s="13">
        <f t="shared" si="13"/>
        <v>553213.39315068489</v>
      </c>
    </row>
    <row r="88" spans="1:11" x14ac:dyDescent="0.25">
      <c r="A88" s="11" t="s">
        <v>52</v>
      </c>
      <c r="B88" s="2" t="s">
        <v>22</v>
      </c>
      <c r="C88" s="1" t="s">
        <v>19</v>
      </c>
      <c r="D88" s="13">
        <f t="shared" si="13"/>
        <v>96000</v>
      </c>
      <c r="E88" s="13">
        <f t="shared" si="13"/>
        <v>0</v>
      </c>
      <c r="F88" s="13">
        <f t="shared" ref="F88" si="24">+F14+F39+F64</f>
        <v>0</v>
      </c>
      <c r="G88" s="13">
        <f t="shared" si="13"/>
        <v>-38400</v>
      </c>
      <c r="H88" s="13">
        <f t="shared" si="13"/>
        <v>0</v>
      </c>
      <c r="I88" s="13">
        <f t="shared" si="13"/>
        <v>-3719.118904109589</v>
      </c>
      <c r="J88" s="42">
        <f t="shared" si="13"/>
        <v>-3719.118904109589</v>
      </c>
      <c r="K88" s="13">
        <f t="shared" si="13"/>
        <v>53880.881095890414</v>
      </c>
    </row>
    <row r="89" spans="1:11" x14ac:dyDescent="0.25">
      <c r="A89" s="11" t="s">
        <v>37</v>
      </c>
      <c r="B89" s="2" t="s">
        <v>22</v>
      </c>
      <c r="C89" s="1" t="s">
        <v>20</v>
      </c>
      <c r="D89" s="13">
        <f t="shared" si="13"/>
        <v>497000</v>
      </c>
      <c r="E89" s="13">
        <f t="shared" si="13"/>
        <v>0</v>
      </c>
      <c r="F89" s="13">
        <f t="shared" ref="F89" si="25">+F15+F40+F65</f>
        <v>0</v>
      </c>
      <c r="G89" s="13">
        <f t="shared" si="13"/>
        <v>-91178.9</v>
      </c>
      <c r="H89" s="13">
        <f t="shared" si="13"/>
        <v>0</v>
      </c>
      <c r="I89" s="13">
        <f t="shared" si="13"/>
        <v>-14433.424657534249</v>
      </c>
      <c r="J89" s="42">
        <f t="shared" si="13"/>
        <v>-14433.424657534249</v>
      </c>
      <c r="K89" s="13">
        <f t="shared" si="13"/>
        <v>391387.67534246569</v>
      </c>
    </row>
    <row r="90" spans="1:11" x14ac:dyDescent="0.25">
      <c r="A90" s="11" t="s">
        <v>39</v>
      </c>
      <c r="B90" s="2" t="s">
        <v>22</v>
      </c>
      <c r="C90" s="1" t="s">
        <v>21</v>
      </c>
      <c r="D90" s="13">
        <f t="shared" si="13"/>
        <v>670000</v>
      </c>
      <c r="E90" s="13">
        <f t="shared" si="13"/>
        <v>0</v>
      </c>
      <c r="F90" s="13">
        <f t="shared" ref="F90" si="26">+F16+F41+F66</f>
        <v>0</v>
      </c>
      <c r="G90" s="13">
        <f t="shared" si="13"/>
        <v>-129950</v>
      </c>
      <c r="H90" s="13">
        <f t="shared" si="13"/>
        <v>0</v>
      </c>
      <c r="I90" s="13">
        <f t="shared" si="13"/>
        <v>-48643.835616438351</v>
      </c>
      <c r="J90" s="42">
        <f t="shared" si="13"/>
        <v>-48643.835616438351</v>
      </c>
      <c r="K90" s="13">
        <f t="shared" si="13"/>
        <v>491406.16438356164</v>
      </c>
    </row>
    <row r="91" spans="1:11" x14ac:dyDescent="0.25">
      <c r="A91" s="11" t="s">
        <v>47</v>
      </c>
      <c r="B91" s="2" t="s">
        <v>22</v>
      </c>
      <c r="C91" s="1" t="s">
        <v>5</v>
      </c>
      <c r="D91" s="13">
        <f t="shared" si="13"/>
        <v>190000</v>
      </c>
      <c r="E91" s="13">
        <f t="shared" si="13"/>
        <v>0</v>
      </c>
      <c r="F91" s="13">
        <f t="shared" ref="F91" si="27">+F17+F42+F67</f>
        <v>0</v>
      </c>
      <c r="G91" s="13">
        <f t="shared" si="13"/>
        <v>-95000</v>
      </c>
      <c r="H91" s="13">
        <f t="shared" si="13"/>
        <v>0</v>
      </c>
      <c r="I91" s="13">
        <f t="shared" si="13"/>
        <v>-22071.232876712333</v>
      </c>
      <c r="J91" s="42">
        <f t="shared" si="13"/>
        <v>-22071.232876712333</v>
      </c>
      <c r="K91" s="13">
        <f t="shared" si="13"/>
        <v>72928.76712328766</v>
      </c>
    </row>
    <row r="92" spans="1:11" x14ac:dyDescent="0.25">
      <c r="A92" s="11" t="s">
        <v>44</v>
      </c>
      <c r="B92" s="2" t="s">
        <v>23</v>
      </c>
      <c r="C92" s="1" t="s">
        <v>0</v>
      </c>
      <c r="D92" s="13">
        <f t="shared" si="13"/>
        <v>265000</v>
      </c>
      <c r="E92" s="13">
        <f t="shared" si="13"/>
        <v>0</v>
      </c>
      <c r="F92" s="13">
        <f t="shared" ref="F92" si="28">+F18+F43+F68</f>
        <v>0</v>
      </c>
      <c r="G92" s="13">
        <f t="shared" si="13"/>
        <v>-212000</v>
      </c>
      <c r="H92" s="13">
        <f t="shared" si="13"/>
        <v>0</v>
      </c>
      <c r="I92" s="13">
        <f t="shared" si="13"/>
        <v>-30783.561643835619</v>
      </c>
      <c r="J92" s="42">
        <f t="shared" si="13"/>
        <v>-30783.561643835619</v>
      </c>
      <c r="K92" s="13">
        <f t="shared" si="13"/>
        <v>22216.438356164381</v>
      </c>
    </row>
    <row r="93" spans="1:11" x14ac:dyDescent="0.25">
      <c r="A93" s="11" t="s">
        <v>36</v>
      </c>
      <c r="B93" s="2" t="s">
        <v>23</v>
      </c>
      <c r="C93" s="1" t="s">
        <v>1</v>
      </c>
      <c r="D93" s="13">
        <f t="shared" si="13"/>
        <v>770000</v>
      </c>
      <c r="E93" s="13">
        <f t="shared" si="13"/>
        <v>0</v>
      </c>
      <c r="F93" s="13">
        <f t="shared" ref="F93" si="29">+F19+F44+F69</f>
        <v>0</v>
      </c>
      <c r="G93" s="13">
        <f t="shared" si="13"/>
        <v>-654600</v>
      </c>
      <c r="H93" s="13">
        <f t="shared" si="13"/>
        <v>0</v>
      </c>
      <c r="I93" s="13">
        <f t="shared" si="13"/>
        <v>-53203.28767123288</v>
      </c>
      <c r="J93" s="42">
        <f t="shared" si="13"/>
        <v>-53203.28767123288</v>
      </c>
      <c r="K93" s="13">
        <f t="shared" si="13"/>
        <v>62196.71232876712</v>
      </c>
    </row>
    <row r="94" spans="1:11" x14ac:dyDescent="0.25">
      <c r="A94" s="11" t="s">
        <v>43</v>
      </c>
      <c r="B94" s="2" t="s">
        <v>23</v>
      </c>
      <c r="C94" s="1" t="s">
        <v>2</v>
      </c>
      <c r="D94" s="13">
        <f t="shared" ref="D94:K97" si="30">+D20+D45+D70</f>
        <v>472000</v>
      </c>
      <c r="E94" s="13">
        <f t="shared" si="30"/>
        <v>0</v>
      </c>
      <c r="F94" s="13">
        <f t="shared" ref="F94" si="31">+F20+F45+F70</f>
        <v>0</v>
      </c>
      <c r="G94" s="13">
        <f t="shared" si="30"/>
        <v>-380800</v>
      </c>
      <c r="H94" s="13">
        <f t="shared" si="30"/>
        <v>0</v>
      </c>
      <c r="I94" s="13">
        <f t="shared" si="30"/>
        <v>-33106.849315068488</v>
      </c>
      <c r="J94" s="42">
        <f t="shared" si="30"/>
        <v>-33106.849315068488</v>
      </c>
      <c r="K94" s="13">
        <f t="shared" si="30"/>
        <v>58093.150684931512</v>
      </c>
    </row>
    <row r="95" spans="1:11" x14ac:dyDescent="0.25">
      <c r="A95" s="11" t="s">
        <v>41</v>
      </c>
      <c r="B95" s="2" t="s">
        <v>23</v>
      </c>
      <c r="C95" s="1" t="s">
        <v>3</v>
      </c>
      <c r="D95" s="13">
        <f t="shared" si="30"/>
        <v>530000</v>
      </c>
      <c r="E95" s="13">
        <f t="shared" si="30"/>
        <v>384000</v>
      </c>
      <c r="F95" s="13">
        <f t="shared" ref="F95" si="32">+F21+F46+F71</f>
        <v>0</v>
      </c>
      <c r="G95" s="13">
        <f t="shared" si="30"/>
        <v>-325500</v>
      </c>
      <c r="H95" s="13">
        <f t="shared" si="30"/>
        <v>-22303.561643835619</v>
      </c>
      <c r="I95" s="13">
        <f t="shared" si="30"/>
        <v>-53087.123287671238</v>
      </c>
      <c r="J95" s="42">
        <f t="shared" si="30"/>
        <v>-75390.684931506854</v>
      </c>
      <c r="K95" s="13">
        <f t="shared" si="30"/>
        <v>513109.31506849313</v>
      </c>
    </row>
    <row r="96" spans="1:11" x14ac:dyDescent="0.25">
      <c r="A96" s="11" t="s">
        <v>46</v>
      </c>
      <c r="B96" s="2" t="s">
        <v>23</v>
      </c>
      <c r="C96" s="1" t="s">
        <v>4</v>
      </c>
      <c r="D96" s="13">
        <f t="shared" si="30"/>
        <v>887000</v>
      </c>
      <c r="E96" s="13">
        <f t="shared" si="30"/>
        <v>0</v>
      </c>
      <c r="F96" s="13">
        <f t="shared" ref="F96" si="33">+F22+F47+F72</f>
        <v>0</v>
      </c>
      <c r="G96" s="13">
        <f t="shared" si="30"/>
        <v>-472200</v>
      </c>
      <c r="H96" s="13">
        <f t="shared" si="30"/>
        <v>0</v>
      </c>
      <c r="I96" s="13">
        <f t="shared" si="30"/>
        <v>-103037.8082191781</v>
      </c>
      <c r="J96" s="42">
        <f t="shared" si="30"/>
        <v>-103037.8082191781</v>
      </c>
      <c r="K96" s="13">
        <f t="shared" si="30"/>
        <v>311762.19178082189</v>
      </c>
    </row>
    <row r="97" spans="1:11" x14ac:dyDescent="0.25">
      <c r="A97" s="11" t="s">
        <v>50</v>
      </c>
      <c r="B97" s="2" t="s">
        <v>23</v>
      </c>
      <c r="C97" s="1" t="s">
        <v>6</v>
      </c>
      <c r="D97" s="13">
        <f t="shared" si="30"/>
        <v>627000</v>
      </c>
      <c r="E97" s="13">
        <f t="shared" si="30"/>
        <v>0</v>
      </c>
      <c r="F97" s="13">
        <f t="shared" ref="F97" si="34">+F23+F48+F73</f>
        <v>0</v>
      </c>
      <c r="G97" s="13">
        <f t="shared" si="30"/>
        <v>-248200</v>
      </c>
      <c r="H97" s="13">
        <f t="shared" si="30"/>
        <v>0</v>
      </c>
      <c r="I97" s="13">
        <f t="shared" si="30"/>
        <v>-72835.068493150698</v>
      </c>
      <c r="J97" s="42">
        <f t="shared" si="30"/>
        <v>-72835.068493150698</v>
      </c>
      <c r="K97" s="13">
        <f t="shared" si="30"/>
        <v>305964.9315068493</v>
      </c>
    </row>
    <row r="98" spans="1:11" x14ac:dyDescent="0.25">
      <c r="A98" s="11"/>
      <c r="B98" s="2"/>
      <c r="C98" s="3" t="s">
        <v>7</v>
      </c>
      <c r="D98" s="37">
        <f t="shared" ref="D98:K98" si="35">SUM(D78:D97)</f>
        <v>12090000</v>
      </c>
      <c r="E98" s="37">
        <f t="shared" si="35"/>
        <v>846000</v>
      </c>
      <c r="F98" s="37">
        <f t="shared" ref="F98" si="36">SUM(F78:F97)</f>
        <v>-26000</v>
      </c>
      <c r="G98" s="37">
        <f t="shared" si="35"/>
        <v>-4602062.5999999996</v>
      </c>
      <c r="H98" s="37">
        <f t="shared" si="35"/>
        <v>-30345.418630136992</v>
      </c>
      <c r="I98" s="37">
        <f t="shared" si="35"/>
        <v>-874850.43287671218</v>
      </c>
      <c r="J98" s="43">
        <f t="shared" si="35"/>
        <v>-905195.85150684929</v>
      </c>
      <c r="K98" s="37">
        <f t="shared" si="35"/>
        <v>7402741.5484931516</v>
      </c>
    </row>
    <row r="99" spans="1:11" x14ac:dyDescent="0.25">
      <c r="C99" s="3"/>
      <c r="D99" s="37"/>
      <c r="E99" s="37"/>
      <c r="F99" s="37"/>
      <c r="G99" s="37"/>
      <c r="H99" s="37"/>
      <c r="I99" s="37"/>
      <c r="J99" s="37"/>
      <c r="K99" s="37"/>
    </row>
    <row r="100" spans="1:11" x14ac:dyDescent="0.25">
      <c r="C100" s="3" t="s">
        <v>73</v>
      </c>
      <c r="D100" s="40" t="str">
        <f>IF(SUM(D98:F98)-SUM(Dati!F:F)&lt;&gt;0,"Errore di calcolo. Sono state riportate tutte le categorie?","")</f>
        <v/>
      </c>
    </row>
  </sheetData>
  <sheetCalcPr fullCalcOnLoad="1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29" sqref="F29"/>
    </sheetView>
  </sheetViews>
  <sheetFormatPr defaultColWidth="9.1796875" defaultRowHeight="12.5" x14ac:dyDescent="0.25"/>
  <cols>
    <col min="1" max="1" width="14.7265625" style="1" bestFit="1" customWidth="1"/>
    <col min="2" max="2" width="10.26953125" style="1" bestFit="1" customWidth="1"/>
    <col min="3" max="3" width="24.81640625" style="1" bestFit="1" customWidth="1"/>
    <col min="4" max="4" width="17" style="1" bestFit="1" customWidth="1"/>
    <col min="5" max="5" width="13.1796875" style="1" bestFit="1" customWidth="1"/>
    <col min="6" max="6" width="11.81640625" style="1" bestFit="1" customWidth="1"/>
    <col min="7" max="7" width="15.1796875" style="1" bestFit="1" customWidth="1"/>
    <col min="8" max="9" width="14.81640625" style="1" bestFit="1" customWidth="1"/>
    <col min="10" max="16384" width="9.1796875" style="1"/>
  </cols>
  <sheetData>
    <row r="1" spans="1:9" x14ac:dyDescent="0.25">
      <c r="A1" s="8" t="s">
        <v>31</v>
      </c>
      <c r="B1" s="3" t="s">
        <v>26</v>
      </c>
      <c r="C1" s="3" t="s">
        <v>28</v>
      </c>
      <c r="D1" s="3" t="s">
        <v>67</v>
      </c>
      <c r="E1" s="3" t="s">
        <v>69</v>
      </c>
      <c r="F1" s="3" t="s">
        <v>70</v>
      </c>
      <c r="G1" s="3" t="s">
        <v>71</v>
      </c>
      <c r="H1" s="3" t="s">
        <v>72</v>
      </c>
      <c r="I1" s="3" t="s">
        <v>68</v>
      </c>
    </row>
    <row r="2" spans="1:9" x14ac:dyDescent="0.25">
      <c r="A2" s="11" t="s">
        <v>49</v>
      </c>
      <c r="B2" s="2" t="s">
        <v>22</v>
      </c>
      <c r="C2" s="1" t="s">
        <v>8</v>
      </c>
      <c r="D2" s="13">
        <f>SUMIFS(Dati!$F:$F,Dati!$S:$S,"Old*",Dati!$E:$E,$A2)</f>
        <v>560000</v>
      </c>
      <c r="E2" s="13">
        <f>SUMIFS(Dati!$F:$F,Dati!$S:$S,"New+",Dati!$E:$E,$A2)</f>
        <v>141000</v>
      </c>
      <c r="F2" s="13">
        <f>SUMIFS(Dati!$F:$F,Dati!$S:$S,"New-",Dati!$E:$E,$A2)</f>
        <v>0</v>
      </c>
      <c r="G2" s="13">
        <f>SUMIF(Dati!$E:$E,$A2,Dati!H:H)</f>
        <v>-40110</v>
      </c>
      <c r="H2" s="36">
        <f>SUMIF(Dati!$E:$E,$A2,Dati!P:P)</f>
        <v>-10986.246575342466</v>
      </c>
      <c r="I2" s="22">
        <f t="shared" ref="I2:I22" si="0">SUM(D2:H2)</f>
        <v>649903.75342465751</v>
      </c>
    </row>
    <row r="3" spans="1:9" x14ac:dyDescent="0.25">
      <c r="A3" s="11" t="s">
        <v>51</v>
      </c>
      <c r="B3" s="2" t="s">
        <v>22</v>
      </c>
      <c r="C3" s="1" t="s">
        <v>9</v>
      </c>
      <c r="D3" s="13">
        <f>SUMIFS(Dati!$F:$F,Dati!$S:$S,"Old*",Dati!$E:$E,$A3)</f>
        <v>443000</v>
      </c>
      <c r="E3" s="13">
        <f>SUMIFS(Dati!$F:$F,Dati!$S:$S,"New+",Dati!$E:$E,$A3)</f>
        <v>0</v>
      </c>
      <c r="F3" s="13">
        <f>SUMIFS(Dati!$F:$F,Dati!$S:$S,"New-",Dati!$E:$E,$A3)</f>
        <v>0</v>
      </c>
      <c r="G3" s="13">
        <f>SUMIF(Dati!$E:$E,$A3,Dati!H:H)</f>
        <v>-42770</v>
      </c>
      <c r="H3" s="36">
        <f>SUMIF(Dati!$E:$E,$A3,Dati!P:P)</f>
        <v>-18011.28767123288</v>
      </c>
      <c r="I3" s="22">
        <f t="shared" si="0"/>
        <v>382218.71232876711</v>
      </c>
    </row>
    <row r="4" spans="1:9" x14ac:dyDescent="0.25">
      <c r="A4" s="11" t="s">
        <v>79</v>
      </c>
      <c r="B4" s="2" t="s">
        <v>22</v>
      </c>
      <c r="C4" s="1" t="s">
        <v>10</v>
      </c>
      <c r="D4" s="13">
        <f>SUMIFS(Dati!$F:$F,Dati!$S:$S,"Old*",Dati!$E:$E,$A4)</f>
        <v>716000</v>
      </c>
      <c r="E4" s="13">
        <f>SUMIFS(Dati!$F:$F,Dati!$S:$S,"New+",Dati!$E:$E,$A4)</f>
        <v>0</v>
      </c>
      <c r="F4" s="13">
        <f>SUMIFS(Dati!$F:$F,Dati!$S:$S,"New-",Dati!$E:$E,$A4)</f>
        <v>0</v>
      </c>
      <c r="G4" s="13">
        <f>SUMIF(Dati!$E:$E,$A4,Dati!H:H)</f>
        <v>-288340</v>
      </c>
      <c r="H4" s="36">
        <f>SUMIF(Dati!$E:$E,$A4,Dati!P:P)</f>
        <v>-37428.164383561641</v>
      </c>
      <c r="I4" s="22">
        <f t="shared" si="0"/>
        <v>390231.83561643836</v>
      </c>
    </row>
    <row r="5" spans="1:9" x14ac:dyDescent="0.25">
      <c r="A5" s="11" t="s">
        <v>42</v>
      </c>
      <c r="B5" s="2" t="s">
        <v>22</v>
      </c>
      <c r="C5" s="1" t="s">
        <v>11</v>
      </c>
      <c r="D5" s="13">
        <f>SUMIFS(Dati!$F:$F,Dati!$S:$S,"Old*",Dati!$E:$E,$A5)</f>
        <v>685000</v>
      </c>
      <c r="E5" s="13">
        <f>SUMIFS(Dati!$F:$F,Dati!$S:$S,"New+",Dati!$E:$E,$A5)</f>
        <v>0</v>
      </c>
      <c r="F5" s="13">
        <f>SUMIFS(Dati!$F:$F,Dati!$S:$S,"New-",Dati!$E:$E,$A5)</f>
        <v>0</v>
      </c>
      <c r="G5" s="13">
        <f>SUMIF(Dati!$E:$E,$A5,Dati!H:H)</f>
        <v>-242730</v>
      </c>
      <c r="H5" s="36">
        <f>SUMIF(Dati!$E:$E,$A5,Dati!P:P)</f>
        <v>-131294.79452054796</v>
      </c>
      <c r="I5" s="22">
        <f t="shared" si="0"/>
        <v>310975.20547945204</v>
      </c>
    </row>
    <row r="6" spans="1:9" x14ac:dyDescent="0.25">
      <c r="A6" s="11" t="s">
        <v>40</v>
      </c>
      <c r="B6" s="2" t="s">
        <v>22</v>
      </c>
      <c r="C6" s="1" t="s">
        <v>12</v>
      </c>
      <c r="D6" s="13">
        <f>SUMIFS(Dati!$F:$F,Dati!$S:$S,"Old*",Dati!$E:$E,$A6)</f>
        <v>380000</v>
      </c>
      <c r="E6" s="13">
        <f>SUMIFS(Dati!$F:$F,Dati!$S:$S,"New+",Dati!$E:$E,$A6)</f>
        <v>145000</v>
      </c>
      <c r="F6" s="13">
        <f>SUMIFS(Dati!$F:$F,Dati!$S:$S,"New-",Dati!$E:$E,$A6)</f>
        <v>0</v>
      </c>
      <c r="G6" s="13">
        <f>SUMIF(Dati!$E:$E,$A6,Dati!H:H)</f>
        <v>-380000</v>
      </c>
      <c r="H6" s="36">
        <f>SUMIF(Dati!$E:$E,$A6,Dati!P:P)</f>
        <v>-4632.0547945205471</v>
      </c>
      <c r="I6" s="22">
        <f t="shared" si="0"/>
        <v>140367.94520547945</v>
      </c>
    </row>
    <row r="7" spans="1:9" x14ac:dyDescent="0.25">
      <c r="A7" s="11" t="s">
        <v>48</v>
      </c>
      <c r="B7" s="2" t="s">
        <v>22</v>
      </c>
      <c r="C7" s="1" t="s">
        <v>13</v>
      </c>
      <c r="D7" s="13">
        <f>SUMIFS(Dati!$F:$F,Dati!$S:$S,"Old*",Dati!$E:$E,$A7)</f>
        <v>1849000</v>
      </c>
      <c r="E7" s="13">
        <f>SUMIFS(Dati!$F:$F,Dati!$S:$S,"New+",Dati!$E:$E,$A7)</f>
        <v>155000</v>
      </c>
      <c r="F7" s="13">
        <f>SUMIFS(Dati!$F:$F,Dati!$S:$S,"New-",Dati!$E:$E,$A7)</f>
        <v>-26000</v>
      </c>
      <c r="G7" s="13">
        <f>SUMIF(Dati!$E:$E,$A7,Dati!H:H)</f>
        <v>-489280</v>
      </c>
      <c r="H7" s="36">
        <f>SUMIF(Dati!$E:$E,$A7,Dati!P:P)</f>
        <v>-99346.684931506839</v>
      </c>
      <c r="I7" s="22">
        <f t="shared" si="0"/>
        <v>1389373.3150684931</v>
      </c>
    </row>
    <row r="8" spans="1:9" x14ac:dyDescent="0.25">
      <c r="A8" s="11" t="s">
        <v>78</v>
      </c>
      <c r="B8" s="2" t="s">
        <v>22</v>
      </c>
      <c r="C8" s="1" t="s">
        <v>14</v>
      </c>
      <c r="D8" s="13">
        <f>SUMIFS(Dati!$F:$F,Dati!$S:$S,"Old*",Dati!$E:$E,$A8)</f>
        <v>720000</v>
      </c>
      <c r="E8" s="13">
        <f>SUMIFS(Dati!$F:$F,Dati!$S:$S,"New+",Dati!$E:$E,$A8)</f>
        <v>0</v>
      </c>
      <c r="F8" s="13">
        <f>SUMIFS(Dati!$F:$F,Dati!$S:$S,"New-",Dati!$E:$E,$A8)</f>
        <v>0</v>
      </c>
      <c r="G8" s="13">
        <f>SUMIF(Dati!$E:$E,$A8,Dati!H:H)</f>
        <v>-318000</v>
      </c>
      <c r="H8" s="36">
        <f>SUMIF(Dati!$E:$E,$A8,Dati!P:P)</f>
        <v>-92002.191780821915</v>
      </c>
      <c r="I8" s="22">
        <f t="shared" si="0"/>
        <v>309997.80821917811</v>
      </c>
    </row>
    <row r="9" spans="1:9" x14ac:dyDescent="0.25">
      <c r="A9" s="11" t="s">
        <v>45</v>
      </c>
      <c r="B9" s="2" t="s">
        <v>22</v>
      </c>
      <c r="C9" s="1" t="s">
        <v>15</v>
      </c>
      <c r="D9" s="13">
        <f>SUMIFS(Dati!$F:$F,Dati!$S:$S,"Old*",Dati!$E:$E,$A9)</f>
        <v>641000</v>
      </c>
      <c r="E9" s="13">
        <f>SUMIFS(Dati!$F:$F,Dati!$S:$S,"New+",Dati!$E:$E,$A9)</f>
        <v>0</v>
      </c>
      <c r="F9" s="13">
        <f>SUMIFS(Dati!$F:$F,Dati!$S:$S,"New-",Dati!$E:$E,$A9)</f>
        <v>0</v>
      </c>
      <c r="G9" s="13">
        <f>SUMIF(Dati!$E:$E,$A9,Dati!H:H)</f>
        <v>-413160</v>
      </c>
      <c r="H9" s="36">
        <f>SUMIF(Dati!$E:$E,$A9,Dati!P:P)</f>
        <v>-48399.890410958906</v>
      </c>
      <c r="I9" s="22">
        <f t="shared" si="0"/>
        <v>179440.10958904109</v>
      </c>
    </row>
    <row r="10" spans="1:9" x14ac:dyDescent="0.25">
      <c r="A10" s="11" t="s">
        <v>53</v>
      </c>
      <c r="B10" s="2" t="s">
        <v>22</v>
      </c>
      <c r="C10" s="1" t="s">
        <v>16</v>
      </c>
      <c r="D10" s="13">
        <f>SUMIFS(Dati!$F:$F,Dati!$S:$S,"Old*",Dati!$E:$E,$A10)</f>
        <v>292000</v>
      </c>
      <c r="E10" s="13">
        <f>SUMIFS(Dati!$F:$F,Dati!$S:$S,"New+",Dati!$E:$E,$A10)</f>
        <v>21000</v>
      </c>
      <c r="F10" s="13">
        <f>SUMIFS(Dati!$F:$F,Dati!$S:$S,"New-",Dati!$E:$E,$A10)</f>
        <v>0</v>
      </c>
      <c r="G10" s="13">
        <f>SUMIF(Dati!$E:$E,$A10,Dati!H:H)</f>
        <v>-72800</v>
      </c>
      <c r="H10" s="36">
        <f>SUMIF(Dati!$E:$E,$A10,Dati!P:P)</f>
        <v>-19326.849315068492</v>
      </c>
      <c r="I10" s="22">
        <f t="shared" si="0"/>
        <v>220873.15068493152</v>
      </c>
    </row>
    <row r="11" spans="1:9" x14ac:dyDescent="0.25">
      <c r="A11" s="11" t="s">
        <v>38</v>
      </c>
      <c r="B11" s="2" t="s">
        <v>22</v>
      </c>
      <c r="C11" s="1" t="s">
        <v>17</v>
      </c>
      <c r="D11" s="13">
        <f>SUMIFS(Dati!$F:$F,Dati!$S:$S,"Old*",Dati!$E:$E,$A11)</f>
        <v>800000</v>
      </c>
      <c r="E11" s="13">
        <f>SUMIFS(Dati!$F:$F,Dati!$S:$S,"New+",Dati!$E:$E,$A11)</f>
        <v>0</v>
      </c>
      <c r="F11" s="13">
        <f>SUMIFS(Dati!$F:$F,Dati!$S:$S,"New-",Dati!$E:$E,$A11)</f>
        <v>0</v>
      </c>
      <c r="G11" s="13">
        <f>SUMIF(Dati!$E:$E,$A11,Dati!H:H)</f>
        <v>-203170</v>
      </c>
      <c r="H11" s="36">
        <f>SUMIF(Dati!$E:$E,$A11,Dati!P:P)</f>
        <v>-120810.9589041096</v>
      </c>
      <c r="I11" s="22">
        <f t="shared" si="0"/>
        <v>476019.0410958904</v>
      </c>
    </row>
    <row r="12" spans="1:9" x14ac:dyDescent="0.25">
      <c r="A12" s="11" t="s">
        <v>52</v>
      </c>
      <c r="B12" s="2" t="s">
        <v>22</v>
      </c>
      <c r="C12" s="1" t="s">
        <v>18</v>
      </c>
      <c r="D12" s="13">
        <f>SUMIFS(Dati!$F:$F,Dati!$S:$S,"Old*",Dati!$E:$E,$A12)</f>
        <v>96000</v>
      </c>
      <c r="E12" s="13">
        <f>SUMIFS(Dati!$F:$F,Dati!$S:$S,"New+",Dati!$E:$E,$A12)</f>
        <v>0</v>
      </c>
      <c r="F12" s="13">
        <f>SUMIFS(Dati!$F:$F,Dati!$S:$S,"New-",Dati!$E:$E,$A12)</f>
        <v>0</v>
      </c>
      <c r="G12" s="13">
        <f>SUMIF(Dati!$E:$E,$A12,Dati!H:H)</f>
        <v>-49920</v>
      </c>
      <c r="H12" s="36">
        <f>SUMIF(Dati!$E:$E,$A12,Dati!P:P)</f>
        <v>-5018.301369863013</v>
      </c>
      <c r="I12" s="22">
        <f t="shared" si="0"/>
        <v>41061.698630136991</v>
      </c>
    </row>
    <row r="13" spans="1:9" x14ac:dyDescent="0.25">
      <c r="A13" s="11" t="s">
        <v>37</v>
      </c>
      <c r="B13" s="2" t="s">
        <v>22</v>
      </c>
      <c r="C13" s="1" t="s">
        <v>19</v>
      </c>
      <c r="D13" s="13">
        <f>SUMIFS(Dati!$F:$F,Dati!$S:$S,"Old*",Dati!$E:$E,$A13)</f>
        <v>497000</v>
      </c>
      <c r="E13" s="13">
        <f>SUMIFS(Dati!$F:$F,Dati!$S:$S,"New+",Dati!$E:$E,$A13)</f>
        <v>0</v>
      </c>
      <c r="F13" s="13">
        <f>SUMIFS(Dati!$F:$F,Dati!$S:$S,"New-",Dati!$E:$E,$A13)</f>
        <v>0</v>
      </c>
      <c r="G13" s="13">
        <f>SUMIF(Dati!$E:$E,$A13,Dati!H:H)</f>
        <v>-123030</v>
      </c>
      <c r="H13" s="36">
        <f>SUMIF(Dati!$E:$E,$A13,Dati!P:P)</f>
        <v>-20206.794520547948</v>
      </c>
      <c r="I13" s="22">
        <f t="shared" si="0"/>
        <v>353763.20547945204</v>
      </c>
    </row>
    <row r="14" spans="1:9" x14ac:dyDescent="0.25">
      <c r="A14" s="11" t="s">
        <v>39</v>
      </c>
      <c r="B14" s="2" t="s">
        <v>22</v>
      </c>
      <c r="C14" s="1" t="s">
        <v>20</v>
      </c>
      <c r="D14" s="13">
        <f>SUMIFS(Dati!$F:$F,Dati!$S:$S,"Old*",Dati!$E:$E,$A14)</f>
        <v>670000</v>
      </c>
      <c r="E14" s="13">
        <f>SUMIFS(Dati!$F:$F,Dati!$S:$S,"New+",Dati!$E:$E,$A14)</f>
        <v>0</v>
      </c>
      <c r="F14" s="13">
        <f>SUMIFS(Dati!$F:$F,Dati!$S:$S,"New-",Dati!$E:$E,$A14)</f>
        <v>0</v>
      </c>
      <c r="G14" s="13">
        <f>SUMIF(Dati!$E:$E,$A14,Dati!H:H)</f>
        <v>-181930</v>
      </c>
      <c r="H14" s="36">
        <f>SUMIF(Dati!$E:$E,$A14,Dati!P:P)</f>
        <v>-62264.109589041102</v>
      </c>
      <c r="I14" s="22">
        <f t="shared" si="0"/>
        <v>425805.89041095891</v>
      </c>
    </row>
    <row r="15" spans="1:9" x14ac:dyDescent="0.25">
      <c r="A15" s="11" t="s">
        <v>47</v>
      </c>
      <c r="B15" s="2" t="s">
        <v>22</v>
      </c>
      <c r="C15" s="1" t="s">
        <v>21</v>
      </c>
      <c r="D15" s="13">
        <f>SUMIFS(Dati!$F:$F,Dati!$S:$S,"Old*",Dati!$E:$E,$A15)</f>
        <v>190000</v>
      </c>
      <c r="E15" s="13">
        <f>SUMIFS(Dati!$F:$F,Dati!$S:$S,"New+",Dati!$E:$E,$A15)</f>
        <v>0</v>
      </c>
      <c r="F15" s="13">
        <f>SUMIFS(Dati!$F:$F,Dati!$S:$S,"New-",Dati!$E:$E,$A15)</f>
        <v>0</v>
      </c>
      <c r="G15" s="13">
        <f>SUMIF(Dati!$E:$E,$A15,Dati!H:H)</f>
        <v>-190000</v>
      </c>
      <c r="H15" s="36">
        <f>SUMIF(Dati!$E:$E,$A15,Dati!P:P)</f>
        <v>0</v>
      </c>
      <c r="I15" s="22">
        <f t="shared" si="0"/>
        <v>0</v>
      </c>
    </row>
    <row r="16" spans="1:9" x14ac:dyDescent="0.25">
      <c r="A16" s="11" t="s">
        <v>44</v>
      </c>
      <c r="B16" s="2" t="s">
        <v>22</v>
      </c>
      <c r="C16" s="1" t="s">
        <v>5</v>
      </c>
      <c r="D16" s="13">
        <f>SUMIFS(Dati!$F:$F,Dati!$S:$S,"Old*",Dati!$E:$E,$A16)</f>
        <v>265000</v>
      </c>
      <c r="E16" s="13">
        <f>SUMIFS(Dati!$F:$F,Dati!$S:$S,"New+",Dati!$E:$E,$A16)</f>
        <v>0</v>
      </c>
      <c r="F16" s="13">
        <f>SUMIFS(Dati!$F:$F,Dati!$S:$S,"New-",Dati!$E:$E,$A16)</f>
        <v>0</v>
      </c>
      <c r="G16" s="13">
        <f>SUMIF(Dati!$E:$E,$A16,Dati!H:H)</f>
        <v>-265000</v>
      </c>
      <c r="H16" s="36">
        <f>SUMIF(Dati!$E:$E,$A16,Dati!P:P)</f>
        <v>0</v>
      </c>
      <c r="I16" s="22">
        <f t="shared" si="0"/>
        <v>0</v>
      </c>
    </row>
    <row r="17" spans="1:9" x14ac:dyDescent="0.25">
      <c r="A17" s="11" t="s">
        <v>36</v>
      </c>
      <c r="B17" s="2" t="s">
        <v>23</v>
      </c>
      <c r="C17" s="1" t="s">
        <v>0</v>
      </c>
      <c r="D17" s="13">
        <f>SUMIFS(Dati!$F:$F,Dati!$S:$S,"Old*",Dati!$E:$E,$A17)</f>
        <v>770000</v>
      </c>
      <c r="E17" s="13">
        <f>SUMIFS(Dati!$F:$F,Dati!$S:$S,"New+",Dati!$E:$E,$A17)</f>
        <v>0</v>
      </c>
      <c r="F17" s="13">
        <f>SUMIFS(Dati!$F:$F,Dati!$S:$S,"New-",Dati!$E:$E,$A17)</f>
        <v>0</v>
      </c>
      <c r="G17" s="13">
        <f>SUMIF(Dati!$E:$E,$A17,Dati!H:H)</f>
        <v>-743820</v>
      </c>
      <c r="H17" s="36">
        <f>SUMIF(Dati!$E:$E,$A17,Dati!P:P)</f>
        <v>-17970.630136986303</v>
      </c>
      <c r="I17" s="22">
        <f t="shared" si="0"/>
        <v>8209.3698630136969</v>
      </c>
    </row>
    <row r="18" spans="1:9" x14ac:dyDescent="0.25">
      <c r="A18" s="11" t="s">
        <v>43</v>
      </c>
      <c r="B18" s="2" t="s">
        <v>23</v>
      </c>
      <c r="C18" s="1" t="s">
        <v>1</v>
      </c>
      <c r="D18" s="13">
        <f>SUMIFS(Dati!$F:$F,Dati!$S:$S,"Old*",Dati!$E:$E,$A18)</f>
        <v>472000</v>
      </c>
      <c r="E18" s="13">
        <f>SUMIFS(Dati!$F:$F,Dati!$S:$S,"New+",Dati!$E:$E,$A18)</f>
        <v>0</v>
      </c>
      <c r="F18" s="13">
        <f>SUMIFS(Dati!$F:$F,Dati!$S:$S,"New-",Dati!$E:$E,$A18)</f>
        <v>0</v>
      </c>
      <c r="G18" s="13">
        <f>SUMIF(Dati!$E:$E,$A18,Dati!H:H)</f>
        <v>-421840</v>
      </c>
      <c r="H18" s="36">
        <f>SUMIF(Dati!$E:$E,$A18,Dati!P:P)</f>
        <v>-43701.04109589041</v>
      </c>
      <c r="I18" s="22">
        <f t="shared" si="0"/>
        <v>6458.9589041095896</v>
      </c>
    </row>
    <row r="19" spans="1:9" x14ac:dyDescent="0.25">
      <c r="A19" s="11" t="s">
        <v>41</v>
      </c>
      <c r="B19" s="2" t="s">
        <v>23</v>
      </c>
      <c r="C19" s="1" t="s">
        <v>2</v>
      </c>
      <c r="D19" s="13">
        <f>SUMIFS(Dati!$F:$F,Dati!$S:$S,"Old*",Dati!$E:$E,$A19)</f>
        <v>530000</v>
      </c>
      <c r="E19" s="13">
        <f>SUMIFS(Dati!$F:$F,Dati!$S:$S,"New+",Dati!$E:$E,$A19)</f>
        <v>384000</v>
      </c>
      <c r="F19" s="13">
        <f>SUMIFS(Dati!$F:$F,Dati!$S:$S,"New-",Dati!$E:$E,$A19)</f>
        <v>0</v>
      </c>
      <c r="G19" s="13">
        <f>SUMIF(Dati!$E:$E,$A19,Dati!H:H)</f>
        <v>-406300</v>
      </c>
      <c r="H19" s="36">
        <f>SUMIF(Dati!$E:$E,$A19,Dati!P:P)</f>
        <v>-78548</v>
      </c>
      <c r="I19" s="22">
        <f t="shared" si="0"/>
        <v>429152</v>
      </c>
    </row>
    <row r="20" spans="1:9" x14ac:dyDescent="0.25">
      <c r="A20" s="11" t="s">
        <v>46</v>
      </c>
      <c r="B20" s="2" t="s">
        <v>23</v>
      </c>
      <c r="C20" s="1" t="s">
        <v>3</v>
      </c>
      <c r="D20" s="13">
        <f>SUMIFS(Dati!$F:$F,Dati!$S:$S,"Old*",Dati!$E:$E,$A20)</f>
        <v>887000</v>
      </c>
      <c r="E20" s="13">
        <f>SUMIFS(Dati!$F:$F,Dati!$S:$S,"New+",Dati!$E:$E,$A20)</f>
        <v>0</v>
      </c>
      <c r="F20" s="13">
        <f>SUMIFS(Dati!$F:$F,Dati!$S:$S,"New-",Dati!$E:$E,$A20)</f>
        <v>0</v>
      </c>
      <c r="G20" s="13">
        <f>SUMIF(Dati!$E:$E,$A20,Dati!H:H)</f>
        <v>-613860</v>
      </c>
      <c r="H20" s="36">
        <f>SUMIF(Dati!$E:$E,$A20,Dati!P:P)</f>
        <v>-133949.15068493152</v>
      </c>
      <c r="I20" s="22">
        <f t="shared" si="0"/>
        <v>139190.84931506848</v>
      </c>
    </row>
    <row r="21" spans="1:9" x14ac:dyDescent="0.25">
      <c r="A21" s="11" t="s">
        <v>50</v>
      </c>
      <c r="B21" s="2" t="s">
        <v>23</v>
      </c>
      <c r="C21" s="1" t="s">
        <v>4</v>
      </c>
      <c r="D21" s="13">
        <f>SUMIFS(Dati!$F:$F,Dati!$S:$S,"Old*",Dati!$E:$E,$A21)</f>
        <v>627000</v>
      </c>
      <c r="E21" s="13">
        <f>SUMIFS(Dati!$F:$F,Dati!$S:$S,"New+",Dati!$E:$E,$A21)</f>
        <v>0</v>
      </c>
      <c r="F21" s="13">
        <f>SUMIFS(Dati!$F:$F,Dati!$S:$S,"New-",Dati!$E:$E,$A21)</f>
        <v>0</v>
      </c>
      <c r="G21" s="13">
        <f>SUMIF(Dati!$E:$E,$A21,Dati!H:H)</f>
        <v>-322660</v>
      </c>
      <c r="H21" s="36">
        <f>SUMIF(Dati!$E:$E,$A21,Dati!P:P)</f>
        <v>-94685.589041095896</v>
      </c>
      <c r="I21" s="22">
        <f t="shared" si="0"/>
        <v>209654.4109589041</v>
      </c>
    </row>
    <row r="22" spans="1:9" x14ac:dyDescent="0.25">
      <c r="A22" s="11" t="s">
        <v>90</v>
      </c>
      <c r="B22" s="2" t="s">
        <v>23</v>
      </c>
      <c r="C22" s="1" t="s">
        <v>6</v>
      </c>
      <c r="D22" s="13">
        <f>SUMIFS(Dati!$F:$F,Dati!$S:$S,"Old*",Dati!$E:$E,$A22)</f>
        <v>0</v>
      </c>
      <c r="E22" s="13">
        <f>SUMIFS(Dati!$F:$F,Dati!$S:$S,"New+",Dati!$E:$E,$A22)</f>
        <v>0</v>
      </c>
      <c r="F22" s="13">
        <f>SUMIFS(Dati!$F:$F,Dati!$S:$S,"New-",Dati!$E:$E,$A22)</f>
        <v>0</v>
      </c>
      <c r="G22" s="13">
        <f>SUMIF(Dati!$E:$E,$A22,Dati!H:H)</f>
        <v>0</v>
      </c>
      <c r="H22" s="36">
        <f>SUMIF(Dati!$E:$E,$A22,Dati!P:P)</f>
        <v>0</v>
      </c>
      <c r="I22" s="22">
        <f t="shared" si="0"/>
        <v>0</v>
      </c>
    </row>
    <row r="23" spans="1:9" x14ac:dyDescent="0.25">
      <c r="C23" s="3" t="s">
        <v>7</v>
      </c>
      <c r="D23" s="37">
        <f t="shared" ref="D23:I23" si="1">SUM(D2:D22)</f>
        <v>12090000</v>
      </c>
      <c r="E23" s="37">
        <f>SUM(E2:E22)</f>
        <v>846000</v>
      </c>
      <c r="F23" s="37">
        <f>SUM(F2:F22)</f>
        <v>-26000</v>
      </c>
      <c r="G23" s="37">
        <f t="shared" si="1"/>
        <v>-5808720</v>
      </c>
      <c r="H23" s="37">
        <f t="shared" si="1"/>
        <v>-1038582.7397260275</v>
      </c>
      <c r="I23" s="37">
        <f t="shared" si="1"/>
        <v>6062697.2602739735</v>
      </c>
    </row>
  </sheetData>
  <sheetCalcPr fullCalcOnLoad="1"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/>
  </sheetViews>
  <sheetFormatPr defaultRowHeight="12.5" x14ac:dyDescent="0.25"/>
  <sheetData>
    <row r="1" spans="1:14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1:14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1:14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</row>
    <row r="27" spans="1:14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14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1:14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1:14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1:14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1:14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  <row r="34" spans="1:14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1:14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</row>
    <row r="36" spans="1:14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  <row r="38" spans="1:14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4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1:14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1:14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1:14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1:14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14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14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4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1:14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</row>
    <row r="50" spans="1:14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1:14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1:14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14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14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14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14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1:14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Cover</vt:lpstr>
      <vt:lpstr>Parametri</vt:lpstr>
      <vt:lpstr>Dati</vt:lpstr>
      <vt:lpstr>Riepilogo gestionale</vt:lpstr>
      <vt:lpstr>Riepilogo Fiscale</vt:lpstr>
      <vt:lpstr>Diagramma di flusso</vt:lpstr>
      <vt:lpstr>analisi</vt:lpstr>
      <vt:lpstr>gganno</vt:lpstr>
      <vt:lpstr>ggytd</vt:lpstr>
      <vt:lpstr>inizio</vt:lpstr>
      <vt:lpstr>metodo</vt:lpstr>
    </vt:vector>
  </TitlesOfParts>
  <Company>Invensys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 Gianclaudio</dc:creator>
  <cp:lastModifiedBy>gianclaudio</cp:lastModifiedBy>
  <cp:lastPrinted>2000-07-11T09:33:23Z</cp:lastPrinted>
  <dcterms:created xsi:type="dcterms:W3CDTF">2000-06-28T08:27:00Z</dcterms:created>
  <dcterms:modified xsi:type="dcterms:W3CDTF">2021-10-17T22:38:45Z</dcterms:modified>
</cp:coreProperties>
</file>